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ens\OneDrive - Weston Nurseries\Desktop\Lauren\EJ\"/>
    </mc:Choice>
  </mc:AlternateContent>
  <xr:revisionPtr revIDLastSave="0" documentId="8_{276A2E97-AC5C-46DA-9394-8BEA9AAB4E6E}" xr6:coauthVersionLast="47" xr6:coauthVersionMax="47" xr10:uidLastSave="{00000000-0000-0000-0000-000000000000}"/>
  <bookViews>
    <workbookView xWindow="780" yWindow="780" windowWidth="14835" windowHeight="14925" activeTab="2" xr2:uid="{664A3619-BAC0-41F0-8E9C-895C33E987B4}"/>
  </bookViews>
  <sheets>
    <sheet name="Prompt" sheetId="1" r:id="rId1"/>
    <sheet name="Answer" sheetId="3" r:id="rId2"/>
    <sheet name="Example Answer" sheetId="2" r:id="rId3"/>
  </sheets>
  <calcPr calcId="191029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2" l="1"/>
  <c r="C67" i="2" s="1"/>
  <c r="D22" i="2"/>
  <c r="C54" i="2" s="1"/>
  <c r="D21" i="2"/>
  <c r="C42" i="2"/>
  <c r="C39" i="2"/>
  <c r="D49" i="2"/>
  <c r="E49" i="2" s="1"/>
  <c r="F49" i="2" s="1"/>
  <c r="G49" i="2" s="1"/>
  <c r="H49" i="2" s="1"/>
  <c r="I49" i="2" s="1"/>
  <c r="J49" i="2" s="1"/>
  <c r="D24" i="2"/>
  <c r="C70" i="2" s="1"/>
  <c r="J151" i="2"/>
  <c r="E131" i="2"/>
  <c r="F131" i="2" s="1"/>
  <c r="G131" i="2" s="1"/>
  <c r="H131" i="2" s="1"/>
  <c r="I131" i="2" s="1"/>
  <c r="J131" i="2" s="1"/>
  <c r="D91" i="2"/>
  <c r="E91" i="2" s="1"/>
  <c r="F91" i="2" s="1"/>
  <c r="G91" i="2" s="1"/>
  <c r="H91" i="2" s="1"/>
  <c r="I91" i="2" s="1"/>
  <c r="J91" i="2" s="1"/>
  <c r="D87" i="2"/>
  <c r="E87" i="2" s="1"/>
  <c r="E85" i="2"/>
  <c r="F85" i="2" s="1"/>
  <c r="G85" i="2" s="1"/>
  <c r="H85" i="2" s="1"/>
  <c r="I85" i="2" s="1"/>
  <c r="J85" i="2" s="1"/>
  <c r="E65" i="2"/>
  <c r="F65" i="2" s="1"/>
  <c r="G65" i="2" s="1"/>
  <c r="H65" i="2" s="1"/>
  <c r="I65" i="2" s="1"/>
  <c r="J65" i="2" s="1"/>
  <c r="D40" i="2"/>
  <c r="E40" i="2" s="1"/>
  <c r="F40" i="2" s="1"/>
  <c r="G40" i="2" s="1"/>
  <c r="H40" i="2" s="1"/>
  <c r="I40" i="2" s="1"/>
  <c r="E38" i="2"/>
  <c r="F38" i="2" s="1"/>
  <c r="G38" i="2" s="1"/>
  <c r="H38" i="2" s="1"/>
  <c r="I38" i="2" s="1"/>
  <c r="J38" i="2" s="1"/>
  <c r="H31" i="2"/>
  <c r="D89" i="2" s="1"/>
  <c r="D31" i="2"/>
  <c r="B31" i="2"/>
  <c r="D30" i="2"/>
  <c r="B30" i="2"/>
  <c r="C30" i="2" l="1"/>
  <c r="D95" i="2" s="1"/>
  <c r="C31" i="2"/>
  <c r="D103" i="2" s="1"/>
  <c r="J40" i="2"/>
  <c r="C45" i="2"/>
  <c r="C48" i="2"/>
  <c r="D48" i="2" s="1"/>
  <c r="E48" i="2" s="1"/>
  <c r="F48" i="2" s="1"/>
  <c r="G48" i="2" s="1"/>
  <c r="H48" i="2" s="1"/>
  <c r="I48" i="2" s="1"/>
  <c r="J48" i="2" s="1"/>
  <c r="C43" i="2"/>
  <c r="D43" i="2" s="1"/>
  <c r="E43" i="2" s="1"/>
  <c r="C71" i="2"/>
  <c r="D71" i="2" s="1"/>
  <c r="E71" i="2" s="1"/>
  <c r="C55" i="2"/>
  <c r="D55" i="2" s="1"/>
  <c r="E55" i="2" s="1"/>
  <c r="D125" i="2"/>
  <c r="F87" i="2"/>
  <c r="H32" i="2"/>
  <c r="I31" i="2"/>
  <c r="D39" i="2"/>
  <c r="C68" i="2"/>
  <c r="D68" i="2" s="1"/>
  <c r="C51" i="2" l="1"/>
  <c r="C11" i="2" s="1"/>
  <c r="C13" i="2" s="1"/>
  <c r="J18" i="2" s="1"/>
  <c r="C46" i="2"/>
  <c r="D46" i="2" s="1"/>
  <c r="E46" i="2" s="1"/>
  <c r="F46" i="2" s="1"/>
  <c r="E39" i="2"/>
  <c r="E70" i="2" s="1"/>
  <c r="D42" i="2"/>
  <c r="D45" i="2" s="1"/>
  <c r="D51" i="2" s="1"/>
  <c r="D52" i="2" s="1"/>
  <c r="F43" i="2"/>
  <c r="D70" i="2"/>
  <c r="F71" i="2"/>
  <c r="D67" i="2"/>
  <c r="D78" i="2" s="1"/>
  <c r="E68" i="2"/>
  <c r="D54" i="2"/>
  <c r="F55" i="2"/>
  <c r="G87" i="2"/>
  <c r="I32" i="2"/>
  <c r="H30" i="2" l="1"/>
  <c r="I30" i="2" s="1"/>
  <c r="E72" i="2"/>
  <c r="E79" i="2" s="1"/>
  <c r="D72" i="2"/>
  <c r="D79" i="2" s="1"/>
  <c r="C52" i="2"/>
  <c r="C57" i="2"/>
  <c r="E54" i="2"/>
  <c r="E42" i="2"/>
  <c r="E45" i="2" s="1"/>
  <c r="E51" i="2" s="1"/>
  <c r="E52" i="2" s="1"/>
  <c r="F39" i="2"/>
  <c r="F70" i="2" s="1"/>
  <c r="F72" i="2" s="1"/>
  <c r="F79" i="2" s="1"/>
  <c r="G46" i="2"/>
  <c r="G43" i="2"/>
  <c r="D57" i="2"/>
  <c r="D75" i="2"/>
  <c r="E67" i="2"/>
  <c r="E78" i="2" s="1"/>
  <c r="F68" i="2"/>
  <c r="H87" i="2"/>
  <c r="I87" i="2" s="1"/>
  <c r="J87" i="2" s="1"/>
  <c r="G55" i="2"/>
  <c r="G71" i="2"/>
  <c r="H33" i="2" l="1"/>
  <c r="J30" i="2" s="1"/>
  <c r="F54" i="2"/>
  <c r="F42" i="2"/>
  <c r="F45" i="2" s="1"/>
  <c r="F51" i="2" s="1"/>
  <c r="F52" i="2" s="1"/>
  <c r="G39" i="2"/>
  <c r="G42" i="2" s="1"/>
  <c r="H46" i="2"/>
  <c r="I46" i="2" s="1"/>
  <c r="J46" i="2" s="1"/>
  <c r="H43" i="2"/>
  <c r="I43" i="2" s="1"/>
  <c r="H55" i="2"/>
  <c r="I55" i="2" s="1"/>
  <c r="G68" i="2"/>
  <c r="F67" i="2"/>
  <c r="F78" i="2" s="1"/>
  <c r="H71" i="2"/>
  <c r="I71" i="2" s="1"/>
  <c r="E57" i="2"/>
  <c r="E75" i="2"/>
  <c r="I33" i="2" l="1"/>
  <c r="J31" i="2"/>
  <c r="J32" i="2"/>
  <c r="J33" i="2"/>
  <c r="C33" i="2"/>
  <c r="E30" i="2"/>
  <c r="D33" i="2"/>
  <c r="J43" i="2"/>
  <c r="J71" i="2"/>
  <c r="J55" i="2"/>
  <c r="G70" i="2"/>
  <c r="G54" i="2"/>
  <c r="H39" i="2"/>
  <c r="I39" i="2" s="1"/>
  <c r="G45" i="2"/>
  <c r="G51" i="2" s="1"/>
  <c r="G52" i="2" s="1"/>
  <c r="H68" i="2"/>
  <c r="I68" i="2" s="1"/>
  <c r="G67" i="2"/>
  <c r="G78" i="2" s="1"/>
  <c r="F75" i="2"/>
  <c r="F57" i="2"/>
  <c r="E33" i="2" l="1"/>
  <c r="E31" i="2"/>
  <c r="C32" i="2"/>
  <c r="E32" i="2" s="1"/>
  <c r="J159" i="2"/>
  <c r="C162" i="2"/>
  <c r="G72" i="2"/>
  <c r="G79" i="2" s="1"/>
  <c r="J39" i="2"/>
  <c r="J54" i="2" s="1"/>
  <c r="I54" i="2"/>
  <c r="I70" i="2"/>
  <c r="J68" i="2"/>
  <c r="I67" i="2"/>
  <c r="I78" i="2" s="1"/>
  <c r="I42" i="2"/>
  <c r="I45" i="2" s="1"/>
  <c r="I51" i="2" s="1"/>
  <c r="G119" i="2"/>
  <c r="G111" i="2"/>
  <c r="F144" i="2" s="1"/>
  <c r="D32" i="2"/>
  <c r="H67" i="2"/>
  <c r="H78" i="2" s="1"/>
  <c r="H42" i="2"/>
  <c r="H45" i="2" s="1"/>
  <c r="H51" i="2" s="1"/>
  <c r="H52" i="2" s="1"/>
  <c r="H54" i="2"/>
  <c r="H70" i="2"/>
  <c r="I72" i="2" s="1"/>
  <c r="I79" i="2" s="1"/>
  <c r="G75" i="2"/>
  <c r="G57" i="2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J42" i="2" l="1"/>
  <c r="J45" i="2" s="1"/>
  <c r="J51" i="2" s="1"/>
  <c r="J70" i="2"/>
  <c r="J72" i="2" s="1"/>
  <c r="J79" i="2" s="1"/>
  <c r="I52" i="2"/>
  <c r="I57" i="2"/>
  <c r="I75" i="2"/>
  <c r="H57" i="2"/>
  <c r="J67" i="2"/>
  <c r="J78" i="2" s="1"/>
  <c r="H72" i="2"/>
  <c r="H79" i="2" s="1"/>
  <c r="H75" i="2"/>
  <c r="J52" i="2" l="1"/>
  <c r="J75" i="2"/>
  <c r="J150" i="2" s="1"/>
  <c r="J152" i="2" s="1"/>
  <c r="J57" i="2"/>
  <c r="G97" i="2" l="1"/>
  <c r="H95" i="2" l="1"/>
  <c r="G98" i="2"/>
  <c r="D58" i="2"/>
  <c r="E58" i="2"/>
  <c r="F58" i="2"/>
  <c r="G58" i="2"/>
  <c r="H58" i="2"/>
  <c r="I58" i="2"/>
  <c r="J58" i="2"/>
  <c r="D59" i="2"/>
  <c r="E59" i="2"/>
  <c r="F59" i="2"/>
  <c r="G59" i="2"/>
  <c r="H59" i="2"/>
  <c r="I59" i="2"/>
  <c r="J59" i="2"/>
  <c r="D60" i="2"/>
  <c r="E60" i="2"/>
  <c r="F60" i="2"/>
  <c r="G60" i="2"/>
  <c r="H60" i="2"/>
  <c r="I60" i="2"/>
  <c r="J60" i="2"/>
  <c r="D61" i="2"/>
  <c r="E61" i="2"/>
  <c r="F61" i="2"/>
  <c r="G61" i="2"/>
  <c r="H61" i="2"/>
  <c r="I61" i="2"/>
  <c r="J61" i="2"/>
  <c r="D76" i="2"/>
  <c r="E76" i="2"/>
  <c r="F76" i="2"/>
  <c r="G76" i="2"/>
  <c r="H76" i="2"/>
  <c r="I76" i="2"/>
  <c r="J76" i="2"/>
  <c r="D77" i="2"/>
  <c r="E77" i="2"/>
  <c r="F77" i="2"/>
  <c r="G77" i="2"/>
  <c r="H77" i="2"/>
  <c r="I77" i="2"/>
  <c r="J77" i="2"/>
  <c r="D80" i="2"/>
  <c r="E80" i="2"/>
  <c r="F80" i="2"/>
  <c r="G80" i="2"/>
  <c r="H80" i="2"/>
  <c r="I80" i="2"/>
  <c r="J80" i="2"/>
  <c r="E89" i="2"/>
  <c r="F89" i="2"/>
  <c r="G89" i="2"/>
  <c r="H89" i="2"/>
  <c r="I89" i="2"/>
  <c r="J89" i="2"/>
  <c r="D90" i="2"/>
  <c r="E90" i="2"/>
  <c r="F90" i="2"/>
  <c r="G90" i="2"/>
  <c r="H90" i="2"/>
  <c r="I90" i="2"/>
  <c r="J90" i="2"/>
  <c r="D92" i="2"/>
  <c r="E92" i="2"/>
  <c r="F92" i="2"/>
  <c r="G92" i="2"/>
  <c r="H92" i="2"/>
  <c r="I92" i="2"/>
  <c r="J92" i="2"/>
  <c r="E95" i="2"/>
  <c r="F95" i="2"/>
  <c r="I95" i="2"/>
  <c r="J95" i="2"/>
  <c r="D96" i="2"/>
  <c r="E96" i="2"/>
  <c r="F96" i="2"/>
  <c r="H96" i="2"/>
  <c r="I96" i="2"/>
  <c r="J96" i="2"/>
  <c r="D97" i="2"/>
  <c r="E97" i="2"/>
  <c r="F97" i="2"/>
  <c r="H97" i="2"/>
  <c r="I97" i="2"/>
  <c r="J97" i="2"/>
  <c r="D98" i="2"/>
  <c r="E98" i="2"/>
  <c r="F98" i="2"/>
  <c r="H98" i="2"/>
  <c r="I98" i="2"/>
  <c r="J98" i="2"/>
  <c r="D100" i="2"/>
  <c r="E100" i="2"/>
  <c r="F100" i="2"/>
  <c r="G100" i="2"/>
  <c r="H100" i="2"/>
  <c r="I100" i="2"/>
  <c r="J100" i="2"/>
  <c r="E103" i="2"/>
  <c r="F103" i="2"/>
  <c r="H103" i="2"/>
  <c r="I103" i="2"/>
  <c r="J103" i="2"/>
  <c r="D104" i="2"/>
  <c r="E104" i="2"/>
  <c r="F104" i="2"/>
  <c r="G104" i="2"/>
  <c r="H104" i="2"/>
  <c r="I104" i="2"/>
  <c r="J104" i="2"/>
  <c r="D105" i="2"/>
  <c r="E105" i="2"/>
  <c r="F105" i="2"/>
  <c r="G105" i="2"/>
  <c r="H105" i="2"/>
  <c r="I105" i="2"/>
  <c r="J105" i="2"/>
  <c r="D106" i="2"/>
  <c r="E106" i="2"/>
  <c r="F106" i="2"/>
  <c r="G106" i="2"/>
  <c r="H106" i="2"/>
  <c r="I106" i="2"/>
  <c r="J106" i="2"/>
  <c r="D108" i="2"/>
  <c r="E108" i="2"/>
  <c r="F108" i="2"/>
  <c r="G108" i="2"/>
  <c r="H108" i="2"/>
  <c r="I108" i="2"/>
  <c r="J108" i="2"/>
  <c r="H111" i="2"/>
  <c r="I111" i="2"/>
  <c r="J111" i="2"/>
  <c r="G112" i="2"/>
  <c r="H112" i="2"/>
  <c r="I112" i="2"/>
  <c r="J112" i="2"/>
  <c r="G113" i="2"/>
  <c r="H113" i="2"/>
  <c r="I113" i="2"/>
  <c r="J113" i="2"/>
  <c r="G114" i="2"/>
  <c r="H114" i="2"/>
  <c r="I114" i="2"/>
  <c r="J114" i="2"/>
  <c r="D116" i="2"/>
  <c r="E116" i="2"/>
  <c r="F116" i="2"/>
  <c r="G116" i="2"/>
  <c r="H116" i="2"/>
  <c r="I116" i="2"/>
  <c r="J116" i="2"/>
  <c r="H119" i="2"/>
  <c r="I119" i="2"/>
  <c r="J119" i="2"/>
  <c r="F120" i="2"/>
  <c r="G120" i="2"/>
  <c r="H120" i="2"/>
  <c r="I120" i="2"/>
  <c r="J120" i="2"/>
  <c r="F121" i="2"/>
  <c r="G121" i="2"/>
  <c r="H121" i="2"/>
  <c r="I121" i="2"/>
  <c r="J121" i="2"/>
  <c r="F122" i="2"/>
  <c r="G122" i="2"/>
  <c r="H122" i="2"/>
  <c r="I122" i="2"/>
  <c r="J122" i="2"/>
  <c r="E125" i="2"/>
  <c r="F125" i="2"/>
  <c r="G125" i="2"/>
  <c r="H125" i="2"/>
  <c r="I125" i="2"/>
  <c r="J125" i="2"/>
  <c r="D126" i="2"/>
  <c r="E126" i="2"/>
  <c r="F126" i="2"/>
  <c r="G126" i="2"/>
  <c r="H126" i="2"/>
  <c r="I126" i="2"/>
  <c r="J126" i="2"/>
  <c r="D127" i="2"/>
  <c r="E127" i="2"/>
  <c r="F127" i="2"/>
  <c r="G127" i="2"/>
  <c r="H127" i="2"/>
  <c r="I127" i="2"/>
  <c r="J127" i="2"/>
  <c r="D133" i="2"/>
  <c r="E133" i="2"/>
  <c r="F133" i="2"/>
  <c r="G133" i="2"/>
  <c r="H133" i="2"/>
  <c r="I133" i="2"/>
  <c r="J133" i="2"/>
  <c r="D134" i="2"/>
  <c r="E134" i="2"/>
  <c r="F134" i="2"/>
  <c r="G134" i="2"/>
  <c r="H134" i="2"/>
  <c r="I134" i="2"/>
  <c r="J134" i="2"/>
  <c r="D136" i="2"/>
  <c r="E136" i="2"/>
  <c r="F136" i="2"/>
  <c r="G136" i="2"/>
  <c r="H136" i="2"/>
  <c r="I136" i="2"/>
  <c r="J136" i="2"/>
  <c r="D137" i="2"/>
  <c r="E137" i="2"/>
  <c r="F137" i="2"/>
  <c r="G137" i="2"/>
  <c r="H137" i="2"/>
  <c r="I137" i="2"/>
  <c r="J137" i="2"/>
  <c r="D139" i="2"/>
  <c r="E139" i="2"/>
  <c r="F139" i="2"/>
  <c r="G139" i="2"/>
  <c r="H139" i="2"/>
  <c r="I139" i="2"/>
  <c r="J139" i="2"/>
  <c r="F145" i="2"/>
  <c r="F146" i="2"/>
  <c r="F147" i="2"/>
  <c r="J153" i="2"/>
  <c r="J154" i="2"/>
  <c r="J155" i="2"/>
  <c r="J156" i="2"/>
  <c r="J157" i="2"/>
  <c r="F162" i="2"/>
  <c r="J162" i="2"/>
  <c r="J165" i="2"/>
  <c r="J166" i="2"/>
</calcChain>
</file>

<file path=xl/sharedStrings.xml><?xml version="1.0" encoding="utf-8"?>
<sst xmlns="http://schemas.openxmlformats.org/spreadsheetml/2006/main" count="174" uniqueCount="118">
  <si>
    <t>Prompt</t>
  </si>
  <si>
    <t>Company A is a private company for sale by it’s owner</t>
  </si>
  <si>
    <t>A management option pool of 10% is structured in the transaction to incentivize the management team</t>
  </si>
  <si>
    <t>Fixed costs are expecte to grow at 5% annually</t>
  </si>
  <si>
    <t>D&amp;A, CapEx, and NWC are expected to stay at the same % of sales through the life of the model</t>
  </si>
  <si>
    <t>The Company believes they can grow revenues and gross profit by 7% annually fpr the next 7 years</t>
  </si>
  <si>
    <t>The tax rate is in line with U.S. corporate federal and state tax of 25%</t>
  </si>
  <si>
    <t>The Company requires minimum cash reserves of $7.5mm to fund operations</t>
  </si>
  <si>
    <t>The total time horizon for the investment is 7 yers, with a dividend recapitalization in Year 3</t>
  </si>
  <si>
    <t>Debt financing to support the transaction includes 3.5x of Bank Debt priced at SOFR+ 150 and Sr. Notes with a straight 14% coupon</t>
  </si>
  <si>
    <t>The Sr. Notes have a call premium of 105 in Year 3</t>
  </si>
  <si>
    <t>The dividend recap executed in Year 3 is done on the same terms as the entry financing</t>
  </si>
  <si>
    <t>The SOFR curve, for purposes of the exercise, remains at 4.5%</t>
  </si>
  <si>
    <t>A comparabes analyisis and precedent transaction analysis indicates an entery multiple of 7.5x LTM EBITDA</t>
  </si>
  <si>
    <t>The Company with advice from it's bankers would like to assume a conservative exit TEV / EBITDA multiple of 6.5x</t>
  </si>
  <si>
    <t xml:space="preserve"> Fees for the transaction are esttimated to be $30mm</t>
  </si>
  <si>
    <t>Please complete the following</t>
  </si>
  <si>
    <t>Levereaged buyout analysis including IRR sensitivities</t>
  </si>
  <si>
    <t>LTM Financials</t>
  </si>
  <si>
    <t>Revenue</t>
  </si>
  <si>
    <t>EBITDA</t>
  </si>
  <si>
    <t>D&amp;A</t>
  </si>
  <si>
    <t>Capex</t>
  </si>
  <si>
    <t>NWC</t>
  </si>
  <si>
    <t>x</t>
  </si>
  <si>
    <t>Assumptions</t>
  </si>
  <si>
    <t>Equity Value</t>
  </si>
  <si>
    <t>Financing</t>
  </si>
  <si>
    <t>Tranch</t>
  </si>
  <si>
    <t>xEBITDA</t>
  </si>
  <si>
    <t>Cost</t>
  </si>
  <si>
    <t>Takeout Premium</t>
  </si>
  <si>
    <t>Bank Debt</t>
  </si>
  <si>
    <t>Sr. Notes</t>
  </si>
  <si>
    <t>SOFR Curve</t>
  </si>
  <si>
    <t>Additional Assumptions</t>
  </si>
  <si>
    <t>Fees &amp; Expenses ($)</t>
  </si>
  <si>
    <t>Min Cash</t>
  </si>
  <si>
    <t>Revenue Growth</t>
  </si>
  <si>
    <t>Tax Rate</t>
  </si>
  <si>
    <t>Exit Multiple</t>
  </si>
  <si>
    <t>Management Option Pool</t>
  </si>
  <si>
    <t>Sources &amp; Uses</t>
  </si>
  <si>
    <t>Sources</t>
  </si>
  <si>
    <t>$ Amount</t>
  </si>
  <si>
    <t>% of Total</t>
  </si>
  <si>
    <t>Uses</t>
  </si>
  <si>
    <t>Purchase Equity Value</t>
  </si>
  <si>
    <t>Sponsor Equity</t>
  </si>
  <si>
    <t>Fees &amp; Expenses</t>
  </si>
  <si>
    <t>Total Sources</t>
  </si>
  <si>
    <t>Total Uses</t>
  </si>
  <si>
    <t>Operating Model</t>
  </si>
  <si>
    <t>LTM</t>
  </si>
  <si>
    <t>Growth</t>
  </si>
  <si>
    <t>Margin</t>
  </si>
  <si>
    <t>% of Sales</t>
  </si>
  <si>
    <t>EBIT</t>
  </si>
  <si>
    <t>Interest</t>
  </si>
  <si>
    <t>EBT</t>
  </si>
  <si>
    <t>Taxes</t>
  </si>
  <si>
    <t>Net Income</t>
  </si>
  <si>
    <t>Other Cash Flow Items</t>
  </si>
  <si>
    <t>CapEx</t>
  </si>
  <si>
    <t>Levered Free Cash Flow</t>
  </si>
  <si>
    <t>Less: Interest</t>
  </si>
  <si>
    <t>Less: Taxes</t>
  </si>
  <si>
    <t>Less: CapEx</t>
  </si>
  <si>
    <t>Less: Change in NWC</t>
  </si>
  <si>
    <t>Debt Schedule</t>
  </si>
  <si>
    <t>Beginning Cash</t>
  </si>
  <si>
    <t>Plus: Levered Free Cash Flow</t>
  </si>
  <si>
    <t>Less: Min Cash</t>
  </si>
  <si>
    <t>Discretionary Cash for Debt Paydown</t>
  </si>
  <si>
    <t>Beginning Balance</t>
  </si>
  <si>
    <t>Draw / (Paydown)</t>
  </si>
  <si>
    <t>Ending Balance</t>
  </si>
  <si>
    <t>Cash Available after Bank Debt Paydown</t>
  </si>
  <si>
    <t>Change in Cash</t>
  </si>
  <si>
    <t>Ending Cash</t>
  </si>
  <si>
    <t>Credit Stats</t>
  </si>
  <si>
    <t>Total Debt</t>
  </si>
  <si>
    <t>Total Interest</t>
  </si>
  <si>
    <t>Total Leverage</t>
  </si>
  <si>
    <t>Net Leverage</t>
  </si>
  <si>
    <t>Interest Coverage Ratio</t>
  </si>
  <si>
    <t>Returns Analysis</t>
  </si>
  <si>
    <t>Exit EBITDA</t>
  </si>
  <si>
    <t>Exit TEV</t>
  </si>
  <si>
    <t>Less: Net Debt</t>
  </si>
  <si>
    <t>Exit Equity Value</t>
  </si>
  <si>
    <t>Plus: Cash From Management Options</t>
  </si>
  <si>
    <t>Less: Equity Paid to Management Options</t>
  </si>
  <si>
    <t>Sponsor Exit Equity Value</t>
  </si>
  <si>
    <t>Memo: Sponsor Equity at Entry</t>
  </si>
  <si>
    <t>MOIC</t>
  </si>
  <si>
    <t>Entry EBITDA</t>
  </si>
  <si>
    <t>TEV</t>
  </si>
  <si>
    <t>Fixed Cost Growth</t>
  </si>
  <si>
    <t>Fees &amp; Expenses % of Enterprise Value</t>
  </si>
  <si>
    <t>COGS</t>
  </si>
  <si>
    <t>SG&amp;A</t>
  </si>
  <si>
    <t>Gross Profit</t>
  </si>
  <si>
    <t>Bank Debt (New)</t>
  </si>
  <si>
    <t>Sr. Notes ( New)</t>
  </si>
  <si>
    <t>Change in NWC</t>
  </si>
  <si>
    <t>Dividemd Recap</t>
  </si>
  <si>
    <t>Debt Raised</t>
  </si>
  <si>
    <t>Debt Extinguished</t>
  </si>
  <si>
    <t>Call Premium on Sr. Notes</t>
  </si>
  <si>
    <t>Dividend to Shareholders</t>
  </si>
  <si>
    <t>Call Premium</t>
  </si>
  <si>
    <t>Exit Calculation</t>
  </si>
  <si>
    <t>Cash Flow Dates</t>
  </si>
  <si>
    <t>Sponsor Cash Flows</t>
  </si>
  <si>
    <t>XIRR</t>
  </si>
  <si>
    <t>Basic LBO - Dividend Recap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</si>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</sst>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7" formatCode="&quot;$&quot;#,##0.00_);\(&quot;$&quot;#,##0.00\)"/>
    <numFmt numFmtId="164" formatCode="&quot;$&quot;0.00"/>
    <numFmt numFmtId="165" formatCode="0.0\x"/>
    <numFmt numFmtId="166" formatCode="&quot;SOFR+&quot;0"/>
    <numFmt numFmtId="167" formatCode="&quot;$&quot;#,##0.00"/>
    <numFmt numFmtId="168" formatCode="0.0%"/>
    <numFmt numFmtId="169" formatCode="&quot;$&quot;#,##0.0_);\(&quot;$&quot;#,##0.0\)"/>
    <numFmt numFmtId="170" formatCode="&quot;$&quot;#,##0.0"/>
    <numFmt numFmtId="171" formatCode="&quot;Year&quot;\ 0"/>
    <numFmt numFmtId="172" formatCode="0.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1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rgb="FF0066FF"/>
      <name val="Arial"/>
      <family val="2"/>
    </font>
    <font>
      <i/>
      <sz val="11"/>
      <color theme="1"/>
      <name val="Arial"/>
      <family val="2"/>
    </font>
    <font>
      <sz val="11"/>
      <color rgb="FF19EFC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ABBF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rgb="FF2ABBFC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5" fontId="4" fillId="0" borderId="0" xfId="0" applyNumberFormat="1" applyFont="1"/>
    <xf numFmtId="0" fontId="5" fillId="2" borderId="0" xfId="0" applyFont="1" applyFill="1"/>
    <xf numFmtId="0" fontId="6" fillId="2" borderId="0" xfId="0" applyFont="1" applyFill="1"/>
    <xf numFmtId="0" fontId="2" fillId="0" borderId="1" xfId="0" applyFont="1" applyBorder="1"/>
    <xf numFmtId="0" fontId="3" fillId="0" borderId="1" xfId="0" applyFont="1" applyBorder="1"/>
    <xf numFmtId="164" fontId="7" fillId="3" borderId="0" xfId="0" applyNumberFormat="1" applyFont="1" applyFill="1"/>
    <xf numFmtId="165" fontId="7" fillId="3" borderId="0" xfId="0" applyNumberFormat="1" applyFont="1" applyFill="1"/>
    <xf numFmtId="166" fontId="7" fillId="3" borderId="0" xfId="0" applyNumberFormat="1" applyFont="1" applyFill="1"/>
    <xf numFmtId="9" fontId="7" fillId="3" borderId="0" xfId="0" applyNumberFormat="1" applyFont="1" applyFill="1"/>
    <xf numFmtId="0" fontId="7" fillId="3" borderId="0" xfId="0" applyFont="1" applyFill="1"/>
    <xf numFmtId="0" fontId="3" fillId="0" borderId="2" xfId="0" applyFont="1" applyBorder="1"/>
    <xf numFmtId="168" fontId="3" fillId="0" borderId="0" xfId="0" applyNumberFormat="1" applyFont="1"/>
    <xf numFmtId="5" fontId="7" fillId="3" borderId="0" xfId="0" applyNumberFormat="1" applyFont="1" applyFill="1"/>
    <xf numFmtId="167" fontId="7" fillId="3" borderId="0" xfId="0" applyNumberFormat="1" applyFont="1" applyFill="1"/>
    <xf numFmtId="0" fontId="2" fillId="4" borderId="1" xfId="0" applyFont="1" applyFill="1" applyBorder="1"/>
    <xf numFmtId="169" fontId="3" fillId="0" borderId="0" xfId="0" applyNumberFormat="1" applyFont="1"/>
    <xf numFmtId="165" fontId="3" fillId="0" borderId="0" xfId="0" applyNumberFormat="1" applyFont="1"/>
    <xf numFmtId="9" fontId="3" fillId="0" borderId="0" xfId="1" applyFont="1"/>
    <xf numFmtId="170" fontId="3" fillId="0" borderId="0" xfId="0" applyNumberFormat="1" applyFont="1"/>
    <xf numFmtId="0" fontId="2" fillId="0" borderId="2" xfId="0" applyFont="1" applyBorder="1"/>
    <xf numFmtId="170" fontId="2" fillId="0" borderId="2" xfId="0" applyNumberFormat="1" applyFont="1" applyBorder="1"/>
    <xf numFmtId="165" fontId="2" fillId="0" borderId="2" xfId="0" applyNumberFormat="1" applyFont="1" applyBorder="1"/>
    <xf numFmtId="9" fontId="2" fillId="0" borderId="2" xfId="1" applyFont="1" applyBorder="1"/>
    <xf numFmtId="0" fontId="2" fillId="4" borderId="0" xfId="0" applyFont="1" applyFill="1"/>
    <xf numFmtId="171" fontId="2" fillId="4" borderId="0" xfId="0" applyNumberFormat="1" applyFont="1" applyFill="1"/>
    <xf numFmtId="0" fontId="8" fillId="0" borderId="0" xfId="0" applyFont="1" applyAlignment="1">
      <alignment horizontal="left" indent="1"/>
    </xf>
    <xf numFmtId="9" fontId="3" fillId="0" borderId="0" xfId="0" applyNumberFormat="1" applyFont="1"/>
    <xf numFmtId="168" fontId="3" fillId="0" borderId="0" xfId="1" applyNumberFormat="1" applyFont="1"/>
    <xf numFmtId="5" fontId="3" fillId="0" borderId="0" xfId="0" applyNumberFormat="1" applyFont="1"/>
    <xf numFmtId="169" fontId="3" fillId="0" borderId="2" xfId="0" applyNumberFormat="1" applyFont="1" applyBorder="1"/>
    <xf numFmtId="172" fontId="3" fillId="0" borderId="2" xfId="0" applyNumberFormat="1" applyFont="1" applyBorder="1"/>
    <xf numFmtId="172" fontId="3" fillId="0" borderId="0" xfId="0" applyNumberFormat="1" applyFont="1"/>
    <xf numFmtId="7" fontId="3" fillId="0" borderId="0" xfId="0" applyNumberFormat="1" applyFont="1"/>
    <xf numFmtId="0" fontId="8" fillId="0" borderId="0" xfId="0" applyFont="1"/>
    <xf numFmtId="165" fontId="8" fillId="0" borderId="0" xfId="0" applyNumberFormat="1" applyFont="1"/>
    <xf numFmtId="169" fontId="2" fillId="0" borderId="2" xfId="0" applyNumberFormat="1" applyFont="1" applyBorder="1"/>
    <xf numFmtId="0" fontId="2" fillId="0" borderId="3" xfId="0" applyFont="1" applyBorder="1"/>
    <xf numFmtId="0" fontId="3" fillId="0" borderId="3" xfId="0" applyFont="1" applyBorder="1"/>
    <xf numFmtId="169" fontId="2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/>
    <xf numFmtId="165" fontId="2" fillId="0" borderId="6" xfId="0" applyNumberFormat="1" applyFont="1" applyBorder="1"/>
    <xf numFmtId="0" fontId="2" fillId="0" borderId="7" xfId="0" applyFont="1" applyBorder="1"/>
    <xf numFmtId="0" fontId="2" fillId="0" borderId="8" xfId="0" applyFont="1" applyBorder="1"/>
    <xf numFmtId="9" fontId="2" fillId="0" borderId="9" xfId="1" applyFont="1" applyBorder="1"/>
    <xf numFmtId="164" fontId="3" fillId="0" borderId="2" xfId="0" applyNumberFormat="1" applyFont="1" applyBorder="1"/>
    <xf numFmtId="14" fontId="3" fillId="0" borderId="0" xfId="0" applyNumberFormat="1" applyFont="1"/>
    <xf numFmtId="168" fontId="7" fillId="3" borderId="0" xfId="0" applyNumberFormat="1" applyFont="1" applyFill="1"/>
    <xf numFmtId="0" fontId="2" fillId="0" borderId="10" xfId="0" applyFont="1" applyBorder="1"/>
    <xf numFmtId="0" fontId="3" fillId="0" borderId="10" xfId="0" applyFont="1" applyBorder="1"/>
    <xf numFmtId="0" fontId="5" fillId="5" borderId="0" xfId="0" applyFont="1" applyFill="1"/>
    <xf numFmtId="0" fontId="6" fillId="5" borderId="0" xfId="0" applyFont="1" applyFill="1"/>
    <xf numFmtId="0" fontId="9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9EFC9"/>
      <color rgb="FF2ABB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203480</xdr:colOff>
      <xdr:row>0</xdr:row>
      <xdr:rowOff>30827</xdr:rowOff>
    </xdr:from>
    <xdr:to>
      <xdr:col>15</xdr:col>
      <xdr:colOff>180043</xdr:colOff>
      <xdr:row>5</xdr:row>
      <xdr:rowOff>12663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61EDEB-4791-F2E5-D4E4-03E976328A9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27" b="23794"/>
        <a:stretch/>
      </xdr:blipFill>
      <xdr:spPr bwMode="auto">
        <a:xfrm>
          <a:off x="6292521" y="1596580"/>
          <a:ext cx="3021084" cy="869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283973</xdr:colOff>
      <xdr:row>0</xdr:row>
      <xdr:rowOff>12940</xdr:rowOff>
    </xdr:from>
    <xdr:to>
      <xdr:col>10</xdr:col>
      <xdr:colOff>230403</xdr:colOff>
      <xdr:row>5</xdr:row>
      <xdr:rowOff>7476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CCA8E3-8516-40F7-8485-DF739D6ABB0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27" b="23794"/>
        <a:stretch/>
      </xdr:blipFill>
      <xdr:spPr bwMode="auto">
        <a:xfrm>
          <a:off x="4907846" y="12940"/>
          <a:ext cx="3000159" cy="906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29F37-40B2-49E8-8836-642B224DEEC9}">
  <dimension ref="A1:O37"/>
  <sheetViews>
    <sheetView showGridLines="0" zoomScale="101" zoomScaleNormal="85" workbookViewId="0">
      <selection sqref="A1:XFD8"/>
    </sheetView>
  </sheetViews>
  <sheetFormatPr defaultColWidth="8.7109375" defaultRowHeight="14.25" x14ac:dyDescent="0.2"/>
  <cols>
    <col min="1" max="16384" width="8.7109375" style="2"/>
  </cols>
  <sheetData>
    <row r="1" spans="1:15" x14ac:dyDescent="0.2">
      <c r="A1" s="2" t="s">
        <v>117</v>
      </c>
    </row>
    <row r="3" spans="1:15" ht="15" x14ac:dyDescent="0.25">
      <c r="B3" s="1" t="s">
        <v>116</v>
      </c>
    </row>
    <row r="4" spans="1:15" ht="15" x14ac:dyDescent="0.25">
      <c r="L4"/>
    </row>
    <row r="5" spans="1:15" ht="15.75" thickBot="1" x14ac:dyDescent="0.3">
      <c r="B5" s="51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5" thickTop="1" x14ac:dyDescent="0.2"/>
    <row r="8" spans="1:15" ht="15" x14ac:dyDescent="0.25">
      <c r="B8" s="6" t="s">
        <v>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10" spans="1:15" x14ac:dyDescent="0.2">
      <c r="B10" s="2">
        <v>1</v>
      </c>
      <c r="C10" s="2" t="s">
        <v>1</v>
      </c>
    </row>
    <row r="11" spans="1:15" x14ac:dyDescent="0.2">
      <c r="B11" s="2">
        <f t="shared" ref="B11:B24" si="0">B10+1</f>
        <v>2</v>
      </c>
      <c r="C11" s="2" t="s">
        <v>13</v>
      </c>
    </row>
    <row r="12" spans="1:15" x14ac:dyDescent="0.2">
      <c r="B12" s="2">
        <f t="shared" si="0"/>
        <v>3</v>
      </c>
      <c r="C12" s="2" t="s">
        <v>2</v>
      </c>
    </row>
    <row r="13" spans="1:15" x14ac:dyDescent="0.2">
      <c r="B13" s="2">
        <f t="shared" si="0"/>
        <v>4</v>
      </c>
      <c r="C13" s="2" t="s">
        <v>5</v>
      </c>
    </row>
    <row r="14" spans="1:15" x14ac:dyDescent="0.2">
      <c r="B14" s="2">
        <f t="shared" si="0"/>
        <v>5</v>
      </c>
      <c r="C14" s="2" t="s">
        <v>3</v>
      </c>
    </row>
    <row r="15" spans="1:15" x14ac:dyDescent="0.2">
      <c r="B15" s="2">
        <f t="shared" si="0"/>
        <v>6</v>
      </c>
      <c r="C15" s="2" t="s">
        <v>4</v>
      </c>
    </row>
    <row r="16" spans="1:15" x14ac:dyDescent="0.2">
      <c r="B16" s="2">
        <f t="shared" si="0"/>
        <v>7</v>
      </c>
      <c r="C16" s="2" t="s">
        <v>6</v>
      </c>
    </row>
    <row r="17" spans="2:4" x14ac:dyDescent="0.2">
      <c r="B17" s="2">
        <f t="shared" si="0"/>
        <v>8</v>
      </c>
      <c r="C17" s="2" t="s">
        <v>7</v>
      </c>
    </row>
    <row r="18" spans="2:4" x14ac:dyDescent="0.2">
      <c r="B18" s="2">
        <f t="shared" si="0"/>
        <v>9</v>
      </c>
      <c r="C18" s="2" t="s">
        <v>8</v>
      </c>
    </row>
    <row r="19" spans="2:4" x14ac:dyDescent="0.2">
      <c r="B19" s="2">
        <f t="shared" si="0"/>
        <v>10</v>
      </c>
      <c r="C19" s="2" t="s">
        <v>9</v>
      </c>
    </row>
    <row r="20" spans="2:4" x14ac:dyDescent="0.2">
      <c r="B20" s="2">
        <f t="shared" si="0"/>
        <v>11</v>
      </c>
      <c r="C20" s="2" t="s">
        <v>10</v>
      </c>
    </row>
    <row r="21" spans="2:4" x14ac:dyDescent="0.2">
      <c r="B21" s="2">
        <f t="shared" si="0"/>
        <v>12</v>
      </c>
      <c r="C21" s="2" t="s">
        <v>11</v>
      </c>
    </row>
    <row r="22" spans="2:4" x14ac:dyDescent="0.2">
      <c r="B22" s="2">
        <f t="shared" si="0"/>
        <v>13</v>
      </c>
      <c r="C22" s="2" t="s">
        <v>12</v>
      </c>
    </row>
    <row r="23" spans="2:4" x14ac:dyDescent="0.2">
      <c r="B23" s="2">
        <f t="shared" si="0"/>
        <v>14</v>
      </c>
      <c r="C23" s="2" t="s">
        <v>14</v>
      </c>
    </row>
    <row r="24" spans="2:4" x14ac:dyDescent="0.2">
      <c r="B24" s="2">
        <f t="shared" si="0"/>
        <v>15</v>
      </c>
      <c r="C24" s="2" t="s">
        <v>15</v>
      </c>
    </row>
    <row r="26" spans="2:4" ht="15" x14ac:dyDescent="0.25">
      <c r="B26" s="1" t="s">
        <v>16</v>
      </c>
    </row>
    <row r="27" spans="2:4" x14ac:dyDescent="0.2">
      <c r="B27" s="2">
        <v>1</v>
      </c>
      <c r="C27" s="2" t="s">
        <v>17</v>
      </c>
    </row>
    <row r="30" spans="2:4" ht="15" x14ac:dyDescent="0.25">
      <c r="B30" s="1" t="s">
        <v>18</v>
      </c>
    </row>
    <row r="31" spans="2:4" x14ac:dyDescent="0.2">
      <c r="B31" s="2" t="s">
        <v>19</v>
      </c>
      <c r="D31" s="3">
        <v>225</v>
      </c>
    </row>
    <row r="32" spans="2:4" x14ac:dyDescent="0.2">
      <c r="B32" s="2" t="s">
        <v>100</v>
      </c>
      <c r="D32" s="3">
        <v>-80</v>
      </c>
    </row>
    <row r="33" spans="2:4" x14ac:dyDescent="0.2">
      <c r="B33" s="2" t="s">
        <v>101</v>
      </c>
      <c r="D33" s="3">
        <v>-80</v>
      </c>
    </row>
    <row r="34" spans="2:4" x14ac:dyDescent="0.2">
      <c r="B34" s="2" t="s">
        <v>20</v>
      </c>
      <c r="D34" s="3">
        <v>50</v>
      </c>
    </row>
    <row r="35" spans="2:4" x14ac:dyDescent="0.2">
      <c r="B35" s="2" t="s">
        <v>21</v>
      </c>
      <c r="D35" s="3">
        <v>15</v>
      </c>
    </row>
    <row r="36" spans="2:4" x14ac:dyDescent="0.2">
      <c r="B36" s="2" t="s">
        <v>22</v>
      </c>
      <c r="D36" s="3">
        <v>20</v>
      </c>
    </row>
    <row r="37" spans="2:4" x14ac:dyDescent="0.2">
      <c r="B37" s="2" t="s">
        <v>23</v>
      </c>
      <c r="D37" s="3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3C6BC-4949-4161-ACEA-08DFD31B438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B30D3-861D-47F0-8D86-071825657307}">
  <dimension ref="A3:J166"/>
  <sheetViews>
    <sheetView showGridLines="0" tabSelected="1" topLeftCell="A17" zoomScale="108" workbookViewId="0">
      <selection activeCell="A8" sqref="A8"/>
    </sheetView>
  </sheetViews>
  <sheetFormatPr defaultColWidth="8.7109375" defaultRowHeight="14.25" x14ac:dyDescent="0.2"/>
  <cols>
    <col min="1" max="1" width="3.5703125" style="2" customWidth="1"/>
    <col min="2" max="2" width="15" style="2" bestFit="1" customWidth="1"/>
    <col min="3" max="6" width="10.5703125" style="2" bestFit="1" customWidth="1"/>
    <col min="7" max="7" width="11.85546875" style="2" customWidth="1"/>
    <col min="8" max="10" width="10.5703125" style="2" bestFit="1" customWidth="1"/>
    <col min="11" max="16384" width="8.7109375" style="2"/>
  </cols>
  <sheetData>
    <row r="3" spans="1:10" ht="15" x14ac:dyDescent="0.25">
      <c r="B3" s="1" t="s">
        <v>116</v>
      </c>
    </row>
    <row r="4" spans="1:10" ht="15" x14ac:dyDescent="0.25">
      <c r="G4"/>
    </row>
    <row r="5" spans="1:10" ht="15.75" thickBot="1" x14ac:dyDescent="0.3">
      <c r="B5" s="51"/>
      <c r="C5" s="52"/>
      <c r="D5" s="52"/>
      <c r="E5" s="52"/>
      <c r="F5" s="52"/>
      <c r="G5" s="52"/>
      <c r="H5" s="52"/>
      <c r="I5" s="52"/>
      <c r="J5" s="52"/>
    </row>
    <row r="6" spans="1:10" ht="15" thickTop="1" x14ac:dyDescent="0.2"/>
    <row r="8" spans="1:10" ht="15" x14ac:dyDescent="0.25">
      <c r="A8" s="55" t="s">
        <v>24</v>
      </c>
      <c r="B8" s="53" t="s">
        <v>25</v>
      </c>
      <c r="C8" s="54"/>
      <c r="D8" s="54"/>
      <c r="E8" s="54"/>
      <c r="F8" s="54"/>
      <c r="G8" s="54"/>
      <c r="H8" s="54"/>
      <c r="I8" s="54"/>
      <c r="J8" s="54"/>
    </row>
    <row r="10" spans="1:10" ht="15" x14ac:dyDescent="0.25">
      <c r="B10" s="6" t="s">
        <v>26</v>
      </c>
      <c r="C10" s="7"/>
      <c r="E10" s="6" t="s">
        <v>27</v>
      </c>
      <c r="F10" s="7"/>
      <c r="G10" s="7"/>
    </row>
    <row r="11" spans="1:10" x14ac:dyDescent="0.2">
      <c r="B11" s="2" t="s">
        <v>96</v>
      </c>
      <c r="C11" s="8">
        <f>C51</f>
        <v>65</v>
      </c>
      <c r="E11" s="7" t="s">
        <v>28</v>
      </c>
      <c r="F11" s="7" t="s">
        <v>29</v>
      </c>
      <c r="G11" s="7" t="s">
        <v>30</v>
      </c>
      <c r="H11" s="40" t="s">
        <v>111</v>
      </c>
    </row>
    <row r="12" spans="1:10" x14ac:dyDescent="0.2">
      <c r="B12" s="2" t="s">
        <v>31</v>
      </c>
      <c r="C12" s="9">
        <v>7.5</v>
      </c>
      <c r="E12" s="2" t="s">
        <v>32</v>
      </c>
      <c r="F12" s="9">
        <v>3.5</v>
      </c>
      <c r="G12" s="10">
        <v>150</v>
      </c>
    </row>
    <row r="13" spans="1:10" x14ac:dyDescent="0.2">
      <c r="B13" s="13" t="s">
        <v>97</v>
      </c>
      <c r="C13" s="48">
        <f>C11*(1+C12)</f>
        <v>552.5</v>
      </c>
      <c r="E13" s="2" t="s">
        <v>33</v>
      </c>
      <c r="F13" s="9">
        <v>1.5</v>
      </c>
      <c r="G13" s="11">
        <v>0.16</v>
      </c>
      <c r="H13" s="12">
        <v>105</v>
      </c>
    </row>
    <row r="15" spans="1:10" x14ac:dyDescent="0.2">
      <c r="E15" s="2" t="s">
        <v>34</v>
      </c>
      <c r="F15" s="50">
        <v>4.4999999999999998E-2</v>
      </c>
    </row>
    <row r="17" spans="1:10" ht="15" x14ac:dyDescent="0.25">
      <c r="B17" s="1" t="s">
        <v>18</v>
      </c>
      <c r="C17" s="7"/>
      <c r="D17" s="7"/>
      <c r="F17" s="6" t="s">
        <v>35</v>
      </c>
      <c r="G17" s="7"/>
      <c r="H17" s="7"/>
      <c r="I17" s="7"/>
      <c r="J17" s="7"/>
    </row>
    <row r="18" spans="1:10" x14ac:dyDescent="0.2">
      <c r="B18" s="2" t="s">
        <v>19</v>
      </c>
      <c r="D18" s="15">
        <v>225</v>
      </c>
      <c r="F18" s="2" t="s">
        <v>99</v>
      </c>
      <c r="J18" s="11">
        <f>J19/C13</f>
        <v>5.4298642533936653E-2</v>
      </c>
    </row>
    <row r="19" spans="1:10" x14ac:dyDescent="0.2">
      <c r="B19" s="2" t="s">
        <v>100</v>
      </c>
      <c r="D19" s="15">
        <v>-80</v>
      </c>
      <c r="F19" s="2" t="s">
        <v>36</v>
      </c>
      <c r="J19" s="16">
        <v>30</v>
      </c>
    </row>
    <row r="20" spans="1:10" x14ac:dyDescent="0.2">
      <c r="B20" s="2" t="s">
        <v>101</v>
      </c>
      <c r="D20" s="15">
        <v>-80</v>
      </c>
      <c r="F20" s="2" t="s">
        <v>37</v>
      </c>
      <c r="J20" s="12">
        <v>7.5</v>
      </c>
    </row>
    <row r="21" spans="1:10" x14ac:dyDescent="0.2">
      <c r="B21" s="2" t="s">
        <v>20</v>
      </c>
      <c r="D21" s="15">
        <f>Prompt!D34</f>
        <v>50</v>
      </c>
      <c r="F21" s="2" t="s">
        <v>38</v>
      </c>
      <c r="J21" s="11">
        <v>0.08</v>
      </c>
    </row>
    <row r="22" spans="1:10" x14ac:dyDescent="0.2">
      <c r="B22" s="2" t="s">
        <v>21</v>
      </c>
      <c r="D22" s="15">
        <f>Prompt!D35</f>
        <v>15</v>
      </c>
      <c r="F22" s="2" t="s">
        <v>98</v>
      </c>
      <c r="J22" s="11">
        <v>0.03</v>
      </c>
    </row>
    <row r="23" spans="1:10" x14ac:dyDescent="0.2">
      <c r="B23" s="2" t="s">
        <v>22</v>
      </c>
      <c r="D23" s="15">
        <f>Prompt!D36</f>
        <v>20</v>
      </c>
      <c r="F23" s="2" t="s">
        <v>39</v>
      </c>
      <c r="J23" s="11">
        <v>0.25</v>
      </c>
    </row>
    <row r="24" spans="1:10" x14ac:dyDescent="0.2">
      <c r="B24" s="2" t="s">
        <v>23</v>
      </c>
      <c r="D24" s="15">
        <f>Prompt!D37</f>
        <v>20</v>
      </c>
      <c r="F24" s="2" t="s">
        <v>40</v>
      </c>
      <c r="J24" s="9">
        <v>6.5</v>
      </c>
    </row>
    <row r="25" spans="1:10" x14ac:dyDescent="0.2">
      <c r="F25" s="2" t="s">
        <v>41</v>
      </c>
      <c r="J25" s="11">
        <v>0.1</v>
      </c>
    </row>
    <row r="27" spans="1:10" ht="15" x14ac:dyDescent="0.25">
      <c r="A27" s="55" t="s">
        <v>24</v>
      </c>
      <c r="B27" s="53" t="s">
        <v>42</v>
      </c>
      <c r="C27" s="54"/>
      <c r="D27" s="54"/>
      <c r="E27" s="54"/>
      <c r="F27" s="54"/>
      <c r="G27" s="54"/>
      <c r="H27" s="54"/>
      <c r="I27" s="54"/>
      <c r="J27" s="54"/>
    </row>
    <row r="29" spans="1:10" ht="15" x14ac:dyDescent="0.25">
      <c r="B29" s="17" t="s">
        <v>43</v>
      </c>
      <c r="C29" s="17" t="s">
        <v>44</v>
      </c>
      <c r="D29" s="17" t="s">
        <v>29</v>
      </c>
      <c r="E29" s="17" t="s">
        <v>45</v>
      </c>
      <c r="G29" s="17" t="s">
        <v>46</v>
      </c>
      <c r="H29" s="17" t="s">
        <v>44</v>
      </c>
      <c r="I29" s="17" t="s">
        <v>29</v>
      </c>
      <c r="J29" s="17" t="s">
        <v>45</v>
      </c>
    </row>
    <row r="30" spans="1:10" x14ac:dyDescent="0.2">
      <c r="B30" s="2" t="str">
        <f>E12</f>
        <v>Bank Debt</v>
      </c>
      <c r="C30" s="18">
        <f>D30*D21</f>
        <v>175</v>
      </c>
      <c r="D30" s="19">
        <f>F12</f>
        <v>3.5</v>
      </c>
      <c r="E30" s="20">
        <f>C30/$C$33</f>
        <v>0.29661016949152541</v>
      </c>
      <c r="G30" s="2" t="s">
        <v>47</v>
      </c>
      <c r="H30" s="21">
        <f>C13</f>
        <v>552.5</v>
      </c>
      <c r="I30" s="19">
        <f t="shared" ref="I30:I33" si="0">H30/$D$19</f>
        <v>-6.90625</v>
      </c>
      <c r="J30" s="20">
        <f>H30/$H$33</f>
        <v>0.93644067796610164</v>
      </c>
    </row>
    <row r="31" spans="1:10" x14ac:dyDescent="0.2">
      <c r="B31" s="2" t="str">
        <f>E13</f>
        <v>Sr. Notes</v>
      </c>
      <c r="C31" s="18">
        <f>D31*D21</f>
        <v>75</v>
      </c>
      <c r="D31" s="19">
        <f>F13</f>
        <v>1.5</v>
      </c>
      <c r="E31" s="20">
        <f>C31/$C$33</f>
        <v>0.1271186440677966</v>
      </c>
      <c r="G31" s="2" t="s">
        <v>37</v>
      </c>
      <c r="H31" s="2">
        <f>J20</f>
        <v>7.5</v>
      </c>
      <c r="I31" s="19">
        <f t="shared" si="0"/>
        <v>-9.375E-2</v>
      </c>
      <c r="J31" s="20">
        <f t="shared" ref="J31:J33" si="1">H31/$H$33</f>
        <v>1.2711864406779662E-2</v>
      </c>
    </row>
    <row r="32" spans="1:10" x14ac:dyDescent="0.2">
      <c r="B32" s="2" t="s">
        <v>48</v>
      </c>
      <c r="C32" s="21">
        <f>C33-SUM(C30:C31)</f>
        <v>340</v>
      </c>
      <c r="D32" s="19">
        <f>C32/$D$19</f>
        <v>-4.25</v>
      </c>
      <c r="E32" s="20">
        <f t="shared" ref="E32:E33" si="2">C32/$C$33</f>
        <v>0.57627118644067798</v>
      </c>
      <c r="G32" s="2" t="s">
        <v>49</v>
      </c>
      <c r="H32" s="21">
        <f>J19</f>
        <v>30</v>
      </c>
      <c r="I32" s="19">
        <f t="shared" si="0"/>
        <v>-0.375</v>
      </c>
      <c r="J32" s="20">
        <f t="shared" si="1"/>
        <v>5.0847457627118647E-2</v>
      </c>
    </row>
    <row r="33" spans="1:10" ht="15" x14ac:dyDescent="0.25">
      <c r="B33" s="22" t="s">
        <v>50</v>
      </c>
      <c r="C33" s="23">
        <f>H33</f>
        <v>590</v>
      </c>
      <c r="D33" s="24">
        <f>C33/$D$19</f>
        <v>-7.375</v>
      </c>
      <c r="E33" s="25">
        <f t="shared" si="2"/>
        <v>1</v>
      </c>
      <c r="G33" s="22" t="s">
        <v>51</v>
      </c>
      <c r="H33" s="23">
        <f>SUM(H30:H32)</f>
        <v>590</v>
      </c>
      <c r="I33" s="24">
        <f t="shared" si="0"/>
        <v>-7.375</v>
      </c>
      <c r="J33" s="25">
        <f t="shared" si="1"/>
        <v>1</v>
      </c>
    </row>
    <row r="36" spans="1:10" ht="15" x14ac:dyDescent="0.25">
      <c r="A36" s="55" t="s">
        <v>24</v>
      </c>
      <c r="B36" s="53" t="s">
        <v>52</v>
      </c>
      <c r="C36" s="54"/>
      <c r="D36" s="54"/>
      <c r="E36" s="54"/>
      <c r="F36" s="54"/>
      <c r="G36" s="54"/>
      <c r="H36" s="54"/>
      <c r="I36" s="54"/>
      <c r="J36" s="54"/>
    </row>
    <row r="37" spans="1:10" ht="15" x14ac:dyDescent="0.25">
      <c r="B37" s="1"/>
    </row>
    <row r="38" spans="1:10" ht="15" x14ac:dyDescent="0.25">
      <c r="B38" s="26"/>
      <c r="C38" s="26" t="s">
        <v>53</v>
      </c>
      <c r="D38" s="27">
        <v>1</v>
      </c>
      <c r="E38" s="27">
        <f>D38+1</f>
        <v>2</v>
      </c>
      <c r="F38" s="27">
        <f t="shared" ref="F38:H38" si="3">E38+1</f>
        <v>3</v>
      </c>
      <c r="G38" s="27">
        <f t="shared" si="3"/>
        <v>4</v>
      </c>
      <c r="H38" s="27">
        <f t="shared" si="3"/>
        <v>5</v>
      </c>
      <c r="I38" s="27">
        <f t="shared" ref="I38" si="4">H38+1</f>
        <v>6</v>
      </c>
      <c r="J38" s="27">
        <f t="shared" ref="J38" si="5">I38+1</f>
        <v>7</v>
      </c>
    </row>
    <row r="39" spans="1:10" x14ac:dyDescent="0.2">
      <c r="B39" s="2" t="s">
        <v>19</v>
      </c>
      <c r="C39" s="18">
        <f>D18</f>
        <v>225</v>
      </c>
      <c r="D39" s="18">
        <f>C39*(1+D40)</f>
        <v>243.00000000000003</v>
      </c>
      <c r="E39" s="18">
        <f>D39*(1+E40)</f>
        <v>262.44000000000005</v>
      </c>
      <c r="F39" s="18">
        <f>E39*(1+F40)</f>
        <v>283.43520000000007</v>
      </c>
      <c r="G39" s="18">
        <f>F39*(1+G40)</f>
        <v>306.11001600000009</v>
      </c>
      <c r="H39" s="18">
        <f>G39*(1+H40)</f>
        <v>330.59881728000011</v>
      </c>
      <c r="I39" s="18">
        <f t="shared" ref="I39:J39" si="6">H39*(1+I40)</f>
        <v>357.04672266240016</v>
      </c>
      <c r="J39" s="18">
        <f t="shared" si="6"/>
        <v>385.61046047539219</v>
      </c>
    </row>
    <row r="40" spans="1:10" x14ac:dyDescent="0.2">
      <c r="B40" s="28" t="s">
        <v>54</v>
      </c>
      <c r="D40" s="29">
        <f>$J$21</f>
        <v>0.08</v>
      </c>
      <c r="E40" s="29">
        <f>D40</f>
        <v>0.08</v>
      </c>
      <c r="F40" s="29">
        <f t="shared" ref="F40:H40" si="7">E40</f>
        <v>0.08</v>
      </c>
      <c r="G40" s="29">
        <f t="shared" si="7"/>
        <v>0.08</v>
      </c>
      <c r="H40" s="29">
        <f t="shared" si="7"/>
        <v>0.08</v>
      </c>
      <c r="I40" s="29">
        <f t="shared" ref="I40" si="8">H40</f>
        <v>0.08</v>
      </c>
      <c r="J40" s="29">
        <f t="shared" ref="J40" si="9">I40</f>
        <v>0.08</v>
      </c>
    </row>
    <row r="42" spans="1:10" x14ac:dyDescent="0.2">
      <c r="B42" s="2" t="s">
        <v>100</v>
      </c>
      <c r="C42" s="18">
        <f>D19</f>
        <v>-80</v>
      </c>
      <c r="D42" s="18">
        <f>D43*D39</f>
        <v>-86.40000000000002</v>
      </c>
      <c r="E42" s="18">
        <f>E43*E39</f>
        <v>-93.312000000000026</v>
      </c>
      <c r="F42" s="18">
        <f>F43*F39</f>
        <v>-100.77696000000003</v>
      </c>
      <c r="G42" s="18">
        <f>G43*G39</f>
        <v>-108.83911680000004</v>
      </c>
      <c r="H42" s="18">
        <f>H43*H39</f>
        <v>-117.54624614400004</v>
      </c>
      <c r="I42" s="18">
        <f t="shared" ref="I42:J42" si="10">I43*I39</f>
        <v>-126.94994583552005</v>
      </c>
      <c r="J42" s="18">
        <f t="shared" si="10"/>
        <v>-137.10594150236167</v>
      </c>
    </row>
    <row r="43" spans="1:10" x14ac:dyDescent="0.2">
      <c r="B43" s="28" t="s">
        <v>56</v>
      </c>
      <c r="C43" s="20">
        <f>C42/C$39</f>
        <v>-0.35555555555555557</v>
      </c>
      <c r="D43" s="29">
        <f>C43</f>
        <v>-0.35555555555555557</v>
      </c>
      <c r="E43" s="29">
        <f t="shared" ref="E43:H43" si="11">D43</f>
        <v>-0.35555555555555557</v>
      </c>
      <c r="F43" s="29">
        <f t="shared" si="11"/>
        <v>-0.35555555555555557</v>
      </c>
      <c r="G43" s="29">
        <f t="shared" si="11"/>
        <v>-0.35555555555555557</v>
      </c>
      <c r="H43" s="29">
        <f t="shared" si="11"/>
        <v>-0.35555555555555557</v>
      </c>
      <c r="I43" s="29">
        <f t="shared" ref="I43:J43" si="12">H43</f>
        <v>-0.35555555555555557</v>
      </c>
      <c r="J43" s="29">
        <f t="shared" si="12"/>
        <v>-0.35555555555555557</v>
      </c>
    </row>
    <row r="45" spans="1:10" x14ac:dyDescent="0.2">
      <c r="B45" s="2" t="s">
        <v>102</v>
      </c>
      <c r="C45" s="18">
        <f t="shared" ref="C45:H45" si="13">SUM(C39,C42)</f>
        <v>145</v>
      </c>
      <c r="D45" s="18">
        <f t="shared" si="13"/>
        <v>156.60000000000002</v>
      </c>
      <c r="E45" s="18">
        <f t="shared" si="13"/>
        <v>169.12800000000004</v>
      </c>
      <c r="F45" s="18">
        <f t="shared" si="13"/>
        <v>182.65824000000003</v>
      </c>
      <c r="G45" s="18">
        <f t="shared" si="13"/>
        <v>197.27089920000003</v>
      </c>
      <c r="H45" s="18">
        <f t="shared" si="13"/>
        <v>213.05257113600007</v>
      </c>
      <c r="I45" s="18">
        <f t="shared" ref="I45:J45" si="14">SUM(I39,I42)</f>
        <v>230.0967768268801</v>
      </c>
      <c r="J45" s="18">
        <f t="shared" si="14"/>
        <v>248.50451897303051</v>
      </c>
    </row>
    <row r="46" spans="1:10" x14ac:dyDescent="0.2">
      <c r="B46" s="28" t="s">
        <v>55</v>
      </c>
      <c r="C46" s="30">
        <f>C45/C$39</f>
        <v>0.64444444444444449</v>
      </c>
      <c r="D46" s="14">
        <f>C46+($J$22/10000)</f>
        <v>0.64444744444444446</v>
      </c>
      <c r="E46" s="14">
        <f t="shared" ref="E46" si="15">D46+($J$22/10000)</f>
        <v>0.64445044444444444</v>
      </c>
      <c r="F46" s="14">
        <f t="shared" ref="F46" si="16">E46+($J$22/10000)</f>
        <v>0.64445344444444441</v>
      </c>
      <c r="G46" s="14">
        <f t="shared" ref="G46" si="17">F46+($J$22/10000)</f>
        <v>0.64445644444444439</v>
      </c>
      <c r="H46" s="14">
        <f t="shared" ref="H46" si="18">G46+($J$22/10000)</f>
        <v>0.64445944444444436</v>
      </c>
      <c r="I46" s="14">
        <f t="shared" ref="I46" si="19">H46+($J$22/10000)</f>
        <v>0.64446244444444434</v>
      </c>
      <c r="J46" s="14">
        <f t="shared" ref="J46" si="20">I46+($J$22/10000)</f>
        <v>0.64446544444444431</v>
      </c>
    </row>
    <row r="48" spans="1:10" x14ac:dyDescent="0.2">
      <c r="B48" s="2" t="s">
        <v>101</v>
      </c>
      <c r="C48" s="31">
        <f>D20</f>
        <v>-80</v>
      </c>
      <c r="D48" s="18">
        <f>C48*(1+D49)</f>
        <v>-86.4</v>
      </c>
      <c r="E48" s="18">
        <f>D48*(1+E49)</f>
        <v>-93.312000000000012</v>
      </c>
      <c r="F48" s="18">
        <f>E48*(1+F49)</f>
        <v>-100.77696000000002</v>
      </c>
      <c r="G48" s="18">
        <f>F48*(1+G49)</f>
        <v>-108.83911680000003</v>
      </c>
      <c r="H48" s="18">
        <f>G48*(1+H49)</f>
        <v>-117.54624614400004</v>
      </c>
      <c r="I48" s="18">
        <f t="shared" ref="I48:J48" si="21">H48*(1+I49)</f>
        <v>-126.94994583552005</v>
      </c>
      <c r="J48" s="18">
        <f t="shared" si="21"/>
        <v>-137.10594150236167</v>
      </c>
    </row>
    <row r="49" spans="1:10" x14ac:dyDescent="0.2">
      <c r="B49" s="28" t="s">
        <v>54</v>
      </c>
      <c r="D49" s="29">
        <f>$J$21</f>
        <v>0.08</v>
      </c>
      <c r="E49" s="29">
        <f>D49</f>
        <v>0.08</v>
      </c>
      <c r="F49" s="29">
        <f t="shared" ref="F49" si="22">E49</f>
        <v>0.08</v>
      </c>
      <c r="G49" s="29">
        <f t="shared" ref="G49" si="23">F49</f>
        <v>0.08</v>
      </c>
      <c r="H49" s="29">
        <f t="shared" ref="H49" si="24">G49</f>
        <v>0.08</v>
      </c>
      <c r="I49" s="29">
        <f t="shared" ref="I49" si="25">H49</f>
        <v>0.08</v>
      </c>
      <c r="J49" s="29">
        <f t="shared" ref="J49" si="26">I49</f>
        <v>0.08</v>
      </c>
    </row>
    <row r="51" spans="1:10" x14ac:dyDescent="0.2">
      <c r="B51" s="2" t="s">
        <v>20</v>
      </c>
      <c r="C51" s="18">
        <f>SUM(C45,C48)</f>
        <v>65</v>
      </c>
      <c r="D51" s="18">
        <f t="shared" ref="D51:H51" si="27">SUM(D45,D48)</f>
        <v>70.200000000000017</v>
      </c>
      <c r="E51" s="18">
        <f t="shared" si="27"/>
        <v>75.816000000000031</v>
      </c>
      <c r="F51" s="18">
        <f t="shared" si="27"/>
        <v>81.881280000000018</v>
      </c>
      <c r="G51" s="18">
        <f t="shared" si="27"/>
        <v>88.431782400000003</v>
      </c>
      <c r="H51" s="18">
        <f t="shared" si="27"/>
        <v>95.506324992000032</v>
      </c>
      <c r="I51" s="18">
        <f t="shared" ref="I51:J51" si="28">SUM(I45,I48)</f>
        <v>103.14683099136005</v>
      </c>
      <c r="J51" s="18">
        <f t="shared" si="28"/>
        <v>111.39857747066884</v>
      </c>
    </row>
    <row r="52" spans="1:10" x14ac:dyDescent="0.2">
      <c r="B52" s="28" t="s">
        <v>55</v>
      </c>
      <c r="C52" s="30">
        <f>C51/C39</f>
        <v>0.28888888888888886</v>
      </c>
      <c r="D52" s="30">
        <f t="shared" ref="D52:H52" si="29">D51/D39</f>
        <v>0.28888888888888892</v>
      </c>
      <c r="E52" s="30">
        <f t="shared" si="29"/>
        <v>0.28888888888888897</v>
      </c>
      <c r="F52" s="30">
        <f t="shared" si="29"/>
        <v>0.28888888888888886</v>
      </c>
      <c r="G52" s="30">
        <f t="shared" si="29"/>
        <v>0.28888888888888881</v>
      </c>
      <c r="H52" s="30">
        <f t="shared" si="29"/>
        <v>0.28888888888888892</v>
      </c>
      <c r="I52" s="30">
        <f t="shared" ref="I52" si="30">I51/I39</f>
        <v>0.28888888888888892</v>
      </c>
      <c r="J52" s="30">
        <f t="shared" ref="J52" si="31">J51/J39</f>
        <v>0.28888888888888886</v>
      </c>
    </row>
    <row r="54" spans="1:10" x14ac:dyDescent="0.2">
      <c r="B54" s="2" t="s">
        <v>21</v>
      </c>
      <c r="C54" s="31">
        <f>D22</f>
        <v>15</v>
      </c>
      <c r="D54" s="18">
        <f>D55*D$39</f>
        <v>16.200000000000003</v>
      </c>
      <c r="E54" s="18">
        <f t="shared" ref="E54:J54" si="32">E55*E$39</f>
        <v>17.496000000000002</v>
      </c>
      <c r="F54" s="18">
        <f t="shared" si="32"/>
        <v>18.895680000000006</v>
      </c>
      <c r="G54" s="18">
        <f t="shared" si="32"/>
        <v>20.407334400000007</v>
      </c>
      <c r="H54" s="18">
        <f t="shared" si="32"/>
        <v>22.039921152000005</v>
      </c>
      <c r="I54" s="18">
        <f t="shared" si="32"/>
        <v>23.80311484416001</v>
      </c>
      <c r="J54" s="18">
        <f t="shared" si="32"/>
        <v>25.707364031692812</v>
      </c>
    </row>
    <row r="55" spans="1:10" x14ac:dyDescent="0.2">
      <c r="B55" s="28" t="s">
        <v>56</v>
      </c>
      <c r="C55" s="20">
        <f>C54/C39</f>
        <v>6.6666666666666666E-2</v>
      </c>
      <c r="D55" s="29">
        <f>C55</f>
        <v>6.6666666666666666E-2</v>
      </c>
      <c r="E55" s="29">
        <f t="shared" ref="E55:H55" si="33">D55</f>
        <v>6.6666666666666666E-2</v>
      </c>
      <c r="F55" s="29">
        <f t="shared" si="33"/>
        <v>6.6666666666666666E-2</v>
      </c>
      <c r="G55" s="29">
        <f t="shared" si="33"/>
        <v>6.6666666666666666E-2</v>
      </c>
      <c r="H55" s="29">
        <f t="shared" si="33"/>
        <v>6.6666666666666666E-2</v>
      </c>
      <c r="I55" s="29">
        <f t="shared" ref="I55" si="34">H55</f>
        <v>6.6666666666666666E-2</v>
      </c>
      <c r="J55" s="29">
        <f t="shared" ref="J55" si="35">I55</f>
        <v>6.6666666666666666E-2</v>
      </c>
    </row>
    <row r="57" spans="1:10" x14ac:dyDescent="0.2">
      <c r="B57" s="2" t="s">
        <v>57</v>
      </c>
      <c r="C57" s="18">
        <f>C51-C54</f>
        <v>50</v>
      </c>
      <c r="D57" s="18">
        <f t="shared" ref="D57:H57" si="36">D51-D54</f>
        <v>54.000000000000014</v>
      </c>
      <c r="E57" s="18">
        <f t="shared" si="36"/>
        <v>58.320000000000029</v>
      </c>
      <c r="F57" s="18">
        <f t="shared" si="36"/>
        <v>62.985600000000012</v>
      </c>
      <c r="G57" s="18">
        <f t="shared" si="36"/>
        <v>68.024447999999992</v>
      </c>
      <c r="H57" s="18">
        <f t="shared" si="36"/>
        <v>73.466403840000027</v>
      </c>
      <c r="I57" s="18">
        <f t="shared" ref="I57:J57" si="37">I51-I54</f>
        <v>79.343716147200041</v>
      </c>
      <c r="J57" s="18">
        <f t="shared" si="37"/>
        <v>85.691213438976035</v>
      </c>
    </row>
    <row r="58" spans="1:10" x14ac:dyDescent="0.2">
      <c r="B58" s="2" t="s">
        <v>58</v>
      </c>
      <c r="C58" s="18"/>
      <c r="D58" s="18">
        <f ca="1">D134</f>
        <v>21.989769820971865</v>
      </c>
      <c r="E58" s="18">
        <f t="shared" ref="E58:H58" ca="1" si="38">E134</f>
        <v>20.863569966182848</v>
      </c>
      <c r="F58" s="18">
        <f t="shared" ca="1" si="38"/>
        <v>19.514443263858784</v>
      </c>
      <c r="G58" s="18">
        <f t="shared" ca="1" si="38"/>
        <v>23.767463743557517</v>
      </c>
      <c r="H58" s="18">
        <f t="shared" ca="1" si="38"/>
        <v>23.374310733792612</v>
      </c>
      <c r="I58" s="18">
        <f t="shared" ref="I58:J58" ca="1" si="39">I134</f>
        <v>22.923745771136836</v>
      </c>
      <c r="J58" s="18">
        <f t="shared" ca="1" si="39"/>
        <v>22.410882200541849</v>
      </c>
    </row>
    <row r="59" spans="1:10" x14ac:dyDescent="0.2">
      <c r="B59" s="2" t="s">
        <v>59</v>
      </c>
      <c r="C59" s="18"/>
      <c r="D59" s="18">
        <f t="shared" ref="D59:H59" ca="1" si="40">D57-D58</f>
        <v>32.010230179028149</v>
      </c>
      <c r="E59" s="18">
        <f t="shared" ca="1" si="40"/>
        <v>37.456430033817185</v>
      </c>
      <c r="F59" s="18">
        <f t="shared" ca="1" si="40"/>
        <v>43.471156736141225</v>
      </c>
      <c r="G59" s="18">
        <f t="shared" ca="1" si="40"/>
        <v>44.256984256442479</v>
      </c>
      <c r="H59" s="18">
        <f t="shared" ca="1" si="40"/>
        <v>50.092093106207415</v>
      </c>
      <c r="I59" s="18">
        <f t="shared" ref="I59:J59" ca="1" si="41">I57-I58</f>
        <v>56.419970376063205</v>
      </c>
      <c r="J59" s="18">
        <f t="shared" ca="1" si="41"/>
        <v>63.280331238434187</v>
      </c>
    </row>
    <row r="60" spans="1:10" x14ac:dyDescent="0.2">
      <c r="B60" s="2" t="s">
        <v>60</v>
      </c>
      <c r="D60" s="18">
        <f ca="1">D59*$J$23</f>
        <v>8.0025575447570372</v>
      </c>
      <c r="E60" s="18">
        <f t="shared" ref="E60:H60" ca="1" si="42">E59*$J$23</f>
        <v>9.3641075084542962</v>
      </c>
      <c r="F60" s="18">
        <f t="shared" ca="1" si="42"/>
        <v>10.867789184035306</v>
      </c>
      <c r="G60" s="18">
        <f t="shared" ca="1" si="42"/>
        <v>11.06424606411062</v>
      </c>
      <c r="H60" s="18">
        <f t="shared" ca="1" si="42"/>
        <v>12.523023276551854</v>
      </c>
      <c r="I60" s="18">
        <f t="shared" ref="I60:J60" ca="1" si="43">I59*$J$23</f>
        <v>14.104992594015801</v>
      </c>
      <c r="J60" s="18">
        <f t="shared" ca="1" si="43"/>
        <v>15.820082809608547</v>
      </c>
    </row>
    <row r="61" spans="1:10" x14ac:dyDescent="0.2">
      <c r="B61" s="2" t="s">
        <v>61</v>
      </c>
      <c r="D61" s="18">
        <f ca="1">D59-D60</f>
        <v>24.00767263427111</v>
      </c>
      <c r="E61" s="18">
        <f t="shared" ref="E61:H61" ca="1" si="44">E59-E60</f>
        <v>28.092322525362889</v>
      </c>
      <c r="F61" s="18">
        <f t="shared" ca="1" si="44"/>
        <v>32.603367552105922</v>
      </c>
      <c r="G61" s="18">
        <f t="shared" ca="1" si="44"/>
        <v>33.192738192331859</v>
      </c>
      <c r="H61" s="18">
        <f t="shared" ca="1" si="44"/>
        <v>37.569069829655561</v>
      </c>
      <c r="I61" s="18">
        <f t="shared" ref="I61:J61" ca="1" si="45">I59-I60</f>
        <v>42.314977782047407</v>
      </c>
      <c r="J61" s="18">
        <f t="shared" ca="1" si="45"/>
        <v>47.460248428825636</v>
      </c>
    </row>
    <row r="63" spans="1:10" ht="15" x14ac:dyDescent="0.25">
      <c r="A63" s="55" t="s">
        <v>24</v>
      </c>
      <c r="B63" s="4" t="s">
        <v>62</v>
      </c>
      <c r="C63" s="5"/>
      <c r="D63" s="5"/>
      <c r="E63" s="5"/>
      <c r="F63" s="5"/>
      <c r="G63" s="5"/>
      <c r="H63" s="5"/>
      <c r="I63" s="5"/>
      <c r="J63" s="5"/>
    </row>
    <row r="64" spans="1:10" ht="15" x14ac:dyDescent="0.25">
      <c r="B64" s="1"/>
    </row>
    <row r="65" spans="1:10" ht="15" x14ac:dyDescent="0.25">
      <c r="B65" s="26"/>
      <c r="C65" s="26" t="s">
        <v>53</v>
      </c>
      <c r="D65" s="27">
        <v>1</v>
      </c>
      <c r="E65" s="27">
        <f>D65+1</f>
        <v>2</v>
      </c>
      <c r="F65" s="27">
        <f t="shared" ref="F65:H65" si="46">E65+1</f>
        <v>3</v>
      </c>
      <c r="G65" s="27">
        <f t="shared" si="46"/>
        <v>4</v>
      </c>
      <c r="H65" s="27">
        <f t="shared" si="46"/>
        <v>5</v>
      </c>
      <c r="I65" s="27">
        <f t="shared" ref="I65" si="47">H65+1</f>
        <v>6</v>
      </c>
      <c r="J65" s="27">
        <f t="shared" ref="J65" si="48">I65+1</f>
        <v>7</v>
      </c>
    </row>
    <row r="66" spans="1:10" ht="15" x14ac:dyDescent="0.25">
      <c r="B66" s="1"/>
    </row>
    <row r="67" spans="1:10" x14ac:dyDescent="0.2">
      <c r="B67" s="2" t="s">
        <v>63</v>
      </c>
      <c r="C67" s="31">
        <f>D23</f>
        <v>20</v>
      </c>
      <c r="D67" s="18">
        <f>D68*D$39</f>
        <v>21.600000000000005</v>
      </c>
      <c r="E67" s="18">
        <f t="shared" ref="E67:J67" si="49">E68*E$39</f>
        <v>23.328000000000007</v>
      </c>
      <c r="F67" s="18">
        <f t="shared" si="49"/>
        <v>25.194240000000008</v>
      </c>
      <c r="G67" s="18">
        <f t="shared" si="49"/>
        <v>27.20977920000001</v>
      </c>
      <c r="H67" s="18">
        <f t="shared" si="49"/>
        <v>29.386561536000009</v>
      </c>
      <c r="I67" s="18">
        <f t="shared" si="49"/>
        <v>31.737486458880014</v>
      </c>
      <c r="J67" s="18">
        <f t="shared" si="49"/>
        <v>34.276485375590418</v>
      </c>
    </row>
    <row r="68" spans="1:10" x14ac:dyDescent="0.2">
      <c r="B68" s="28" t="s">
        <v>56</v>
      </c>
      <c r="C68" s="20">
        <f>C67/C$39</f>
        <v>8.8888888888888892E-2</v>
      </c>
      <c r="D68" s="29">
        <f>C68</f>
        <v>8.8888888888888892E-2</v>
      </c>
      <c r="E68" s="29">
        <f t="shared" ref="E68:H68" si="50">D68</f>
        <v>8.8888888888888892E-2</v>
      </c>
      <c r="F68" s="29">
        <f t="shared" si="50"/>
        <v>8.8888888888888892E-2</v>
      </c>
      <c r="G68" s="29">
        <f t="shared" si="50"/>
        <v>8.8888888888888892E-2</v>
      </c>
      <c r="H68" s="29">
        <f t="shared" si="50"/>
        <v>8.8888888888888892E-2</v>
      </c>
      <c r="I68" s="29">
        <f t="shared" ref="I68" si="51">H68</f>
        <v>8.8888888888888892E-2</v>
      </c>
      <c r="J68" s="29">
        <f t="shared" ref="J68" si="52">I68</f>
        <v>8.8888888888888892E-2</v>
      </c>
    </row>
    <row r="69" spans="1:10" ht="15" x14ac:dyDescent="0.25">
      <c r="B69" s="1"/>
    </row>
    <row r="70" spans="1:10" x14ac:dyDescent="0.2">
      <c r="B70" s="2" t="s">
        <v>23</v>
      </c>
      <c r="C70" s="31">
        <f>D24</f>
        <v>20</v>
      </c>
      <c r="D70" s="18">
        <f>D71*D$39</f>
        <v>21.600000000000005</v>
      </c>
      <c r="E70" s="18">
        <f t="shared" ref="E70:J70" si="53">E71*E$39</f>
        <v>23.328000000000007</v>
      </c>
      <c r="F70" s="18">
        <f t="shared" si="53"/>
        <v>25.194240000000008</v>
      </c>
      <c r="G70" s="18">
        <f t="shared" si="53"/>
        <v>27.20977920000001</v>
      </c>
      <c r="H70" s="18">
        <f t="shared" si="53"/>
        <v>29.386561536000009</v>
      </c>
      <c r="I70" s="18">
        <f t="shared" si="53"/>
        <v>31.737486458880014</v>
      </c>
      <c r="J70" s="18">
        <f t="shared" si="53"/>
        <v>34.276485375590418</v>
      </c>
    </row>
    <row r="71" spans="1:10" x14ac:dyDescent="0.2">
      <c r="B71" s="28" t="s">
        <v>56</v>
      </c>
      <c r="C71" s="20">
        <f>C70/C$39</f>
        <v>8.8888888888888892E-2</v>
      </c>
      <c r="D71" s="29">
        <f>C71</f>
        <v>8.8888888888888892E-2</v>
      </c>
      <c r="E71" s="29">
        <f t="shared" ref="E71:H71" si="54">D71</f>
        <v>8.8888888888888892E-2</v>
      </c>
      <c r="F71" s="29">
        <f t="shared" si="54"/>
        <v>8.8888888888888892E-2</v>
      </c>
      <c r="G71" s="29">
        <f t="shared" si="54"/>
        <v>8.8888888888888892E-2</v>
      </c>
      <c r="H71" s="29">
        <f t="shared" si="54"/>
        <v>8.8888888888888892E-2</v>
      </c>
      <c r="I71" s="29">
        <f t="shared" ref="I71" si="55">H71</f>
        <v>8.8888888888888892E-2</v>
      </c>
      <c r="J71" s="29">
        <f t="shared" ref="J71" si="56">I71</f>
        <v>8.8888888888888892E-2</v>
      </c>
    </row>
    <row r="72" spans="1:10" ht="15" x14ac:dyDescent="0.25">
      <c r="B72" s="1" t="s">
        <v>105</v>
      </c>
      <c r="D72" s="35">
        <f>C70-D70</f>
        <v>-1.600000000000005</v>
      </c>
      <c r="E72" s="35">
        <f t="shared" ref="E72:H72" si="57">D70-E70</f>
        <v>-1.7280000000000015</v>
      </c>
      <c r="F72" s="35">
        <f t="shared" si="57"/>
        <v>-1.8662400000000012</v>
      </c>
      <c r="G72" s="35">
        <f t="shared" si="57"/>
        <v>-2.0155392000000028</v>
      </c>
      <c r="H72" s="35">
        <f t="shared" si="57"/>
        <v>-2.1767823359999987</v>
      </c>
      <c r="I72" s="35">
        <f t="shared" ref="I72:J72" si="58">H70-I70</f>
        <v>-2.3509249228800044</v>
      </c>
      <c r="J72" s="35">
        <f t="shared" si="58"/>
        <v>-2.5389989167104048</v>
      </c>
    </row>
    <row r="73" spans="1:10" ht="15" x14ac:dyDescent="0.25">
      <c r="B73" s="1"/>
    </row>
    <row r="74" spans="1:10" ht="15" x14ac:dyDescent="0.25">
      <c r="A74" s="55" t="s">
        <v>24</v>
      </c>
      <c r="B74" s="1" t="s">
        <v>64</v>
      </c>
    </row>
    <row r="75" spans="1:10" x14ac:dyDescent="0.2">
      <c r="B75" s="2" t="s">
        <v>20</v>
      </c>
      <c r="D75" s="18">
        <f>D51</f>
        <v>70.200000000000017</v>
      </c>
      <c r="E75" s="18">
        <f t="shared" ref="E75:H75" si="59">E51</f>
        <v>75.816000000000031</v>
      </c>
      <c r="F75" s="18">
        <f t="shared" si="59"/>
        <v>81.881280000000018</v>
      </c>
      <c r="G75" s="18">
        <f t="shared" si="59"/>
        <v>88.431782400000003</v>
      </c>
      <c r="H75" s="18">
        <f t="shared" si="59"/>
        <v>95.506324992000032</v>
      </c>
      <c r="I75" s="18">
        <f t="shared" ref="I75:J75" si="60">I51</f>
        <v>103.14683099136005</v>
      </c>
      <c r="J75" s="18">
        <f t="shared" si="60"/>
        <v>111.39857747066884</v>
      </c>
    </row>
    <row r="76" spans="1:10" x14ac:dyDescent="0.2">
      <c r="B76" s="2" t="s">
        <v>65</v>
      </c>
      <c r="D76" s="18">
        <f ca="1">-D58</f>
        <v>-21.989769820971865</v>
      </c>
      <c r="E76" s="18">
        <f t="shared" ref="E76:H76" ca="1" si="61">-E58</f>
        <v>-20.863569966182848</v>
      </c>
      <c r="F76" s="18">
        <f t="shared" ca="1" si="61"/>
        <v>-19.514443263858784</v>
      </c>
      <c r="G76" s="18">
        <f t="shared" ca="1" si="61"/>
        <v>-23.767463743557517</v>
      </c>
      <c r="H76" s="18">
        <f t="shared" ca="1" si="61"/>
        <v>-23.374310733792612</v>
      </c>
      <c r="I76" s="18">
        <f t="shared" ref="I76:J76" ca="1" si="62">-I58</f>
        <v>-22.923745771136836</v>
      </c>
      <c r="J76" s="18">
        <f t="shared" ca="1" si="62"/>
        <v>-22.410882200541849</v>
      </c>
    </row>
    <row r="77" spans="1:10" x14ac:dyDescent="0.2">
      <c r="B77" s="2" t="s">
        <v>66</v>
      </c>
      <c r="D77" s="18">
        <f ca="1">-D60</f>
        <v>-8.0025575447570372</v>
      </c>
      <c r="E77" s="18">
        <f t="shared" ref="E77:H77" ca="1" si="63">-E60</f>
        <v>-9.3641075084542962</v>
      </c>
      <c r="F77" s="18">
        <f t="shared" ca="1" si="63"/>
        <v>-10.867789184035306</v>
      </c>
      <c r="G77" s="18">
        <f t="shared" ca="1" si="63"/>
        <v>-11.06424606411062</v>
      </c>
      <c r="H77" s="18">
        <f t="shared" ca="1" si="63"/>
        <v>-12.523023276551854</v>
      </c>
      <c r="I77" s="18">
        <f t="shared" ref="I77:J77" ca="1" si="64">-I60</f>
        <v>-14.104992594015801</v>
      </c>
      <c r="J77" s="18">
        <f t="shared" ca="1" si="64"/>
        <v>-15.820082809608547</v>
      </c>
    </row>
    <row r="78" spans="1:10" x14ac:dyDescent="0.2">
      <c r="B78" s="2" t="s">
        <v>67</v>
      </c>
      <c r="D78" s="18">
        <f>-D67</f>
        <v>-21.600000000000005</v>
      </c>
      <c r="E78" s="18">
        <f t="shared" ref="E78:H78" si="65">-E67</f>
        <v>-23.328000000000007</v>
      </c>
      <c r="F78" s="18">
        <f t="shared" si="65"/>
        <v>-25.194240000000008</v>
      </c>
      <c r="G78" s="18">
        <f t="shared" si="65"/>
        <v>-27.20977920000001</v>
      </c>
      <c r="H78" s="18">
        <f t="shared" si="65"/>
        <v>-29.386561536000009</v>
      </c>
      <c r="I78" s="18">
        <f t="shared" ref="I78:J78" si="66">-I67</f>
        <v>-31.737486458880014</v>
      </c>
      <c r="J78" s="18">
        <f t="shared" si="66"/>
        <v>-34.276485375590418</v>
      </c>
    </row>
    <row r="79" spans="1:10" x14ac:dyDescent="0.2">
      <c r="B79" s="2" t="s">
        <v>68</v>
      </c>
      <c r="D79" s="18">
        <f>D72</f>
        <v>-1.600000000000005</v>
      </c>
      <c r="E79" s="18">
        <f t="shared" ref="E79:H79" si="67">E72</f>
        <v>-1.7280000000000015</v>
      </c>
      <c r="F79" s="18">
        <f t="shared" si="67"/>
        <v>-1.8662400000000012</v>
      </c>
      <c r="G79" s="18">
        <f t="shared" si="67"/>
        <v>-2.0155392000000028</v>
      </c>
      <c r="H79" s="18">
        <f t="shared" si="67"/>
        <v>-2.1767823359999987</v>
      </c>
      <c r="I79" s="18">
        <f t="shared" ref="I79:J79" si="68">I72</f>
        <v>-2.3509249228800044</v>
      </c>
      <c r="J79" s="18">
        <f t="shared" si="68"/>
        <v>-2.5389989167104048</v>
      </c>
    </row>
    <row r="80" spans="1:10" x14ac:dyDescent="0.2">
      <c r="B80" s="13" t="s">
        <v>64</v>
      </c>
      <c r="C80" s="13"/>
      <c r="D80" s="32">
        <f ca="1">SUM(D75:D79)</f>
        <v>17.007672634271103</v>
      </c>
      <c r="E80" s="32">
        <f t="shared" ref="E80:H80" ca="1" si="69">SUM(E75:E79)</f>
        <v>20.532322525362876</v>
      </c>
      <c r="F80" s="32">
        <f t="shared" ca="1" si="69"/>
        <v>24.438567552105926</v>
      </c>
      <c r="G80" s="32">
        <f t="shared" ca="1" si="69"/>
        <v>24.374754192331856</v>
      </c>
      <c r="H80" s="32">
        <f t="shared" ca="1" si="69"/>
        <v>28.045647109655558</v>
      </c>
      <c r="I80" s="32">
        <f t="shared" ref="I80:J80" ca="1" si="70">SUM(I75:I79)</f>
        <v>32.029681244447396</v>
      </c>
      <c r="J80" s="32">
        <f t="shared" ca="1" si="70"/>
        <v>36.352128168217618</v>
      </c>
    </row>
    <row r="83" spans="1:10" ht="15" x14ac:dyDescent="0.25">
      <c r="A83" s="55" t="s">
        <v>24</v>
      </c>
      <c r="B83" s="53" t="s">
        <v>69</v>
      </c>
      <c r="C83" s="54"/>
      <c r="D83" s="54"/>
      <c r="E83" s="54"/>
      <c r="F83" s="54"/>
      <c r="G83" s="54"/>
      <c r="H83" s="54"/>
      <c r="I83" s="54"/>
      <c r="J83" s="54"/>
    </row>
    <row r="85" spans="1:10" ht="15" x14ac:dyDescent="0.25">
      <c r="B85" s="26"/>
      <c r="C85" s="26"/>
      <c r="D85" s="27">
        <v>1</v>
      </c>
      <c r="E85" s="27">
        <f>D85+1</f>
        <v>2</v>
      </c>
      <c r="F85" s="27">
        <f t="shared" ref="F85:H85" si="71">E85+1</f>
        <v>3</v>
      </c>
      <c r="G85" s="27">
        <f t="shared" si="71"/>
        <v>4</v>
      </c>
      <c r="H85" s="27">
        <f t="shared" si="71"/>
        <v>5</v>
      </c>
      <c r="I85" s="27">
        <f t="shared" ref="I85" si="72">H85+1</f>
        <v>6</v>
      </c>
      <c r="J85" s="27">
        <f t="shared" ref="J85" si="73">I85+1</f>
        <v>7</v>
      </c>
    </row>
    <row r="87" spans="1:10" x14ac:dyDescent="0.2">
      <c r="B87" s="2" t="s">
        <v>34</v>
      </c>
      <c r="D87" s="14">
        <f>$F$15</f>
        <v>4.4999999999999998E-2</v>
      </c>
      <c r="E87" s="14">
        <f>D87</f>
        <v>4.4999999999999998E-2</v>
      </c>
      <c r="F87" s="14">
        <f t="shared" ref="F87:H87" si="74">E87</f>
        <v>4.4999999999999998E-2</v>
      </c>
      <c r="G87" s="14">
        <f t="shared" si="74"/>
        <v>4.4999999999999998E-2</v>
      </c>
      <c r="H87" s="14">
        <f t="shared" si="74"/>
        <v>4.4999999999999998E-2</v>
      </c>
      <c r="I87" s="14">
        <f t="shared" ref="I87" si="75">H87</f>
        <v>4.4999999999999998E-2</v>
      </c>
      <c r="J87" s="14">
        <f t="shared" ref="J87" si="76">I87</f>
        <v>4.4999999999999998E-2</v>
      </c>
    </row>
    <row r="89" spans="1:10" x14ac:dyDescent="0.2">
      <c r="B89" s="2" t="s">
        <v>70</v>
      </c>
      <c r="D89" s="2">
        <f>$H$31</f>
        <v>7.5</v>
      </c>
      <c r="E89" s="2">
        <f ca="1">D127</f>
        <v>7.5</v>
      </c>
      <c r="F89" s="2">
        <f t="shared" ref="F89:H89" ca="1" si="77">E127</f>
        <v>7.5</v>
      </c>
      <c r="G89" s="2">
        <f t="shared" ca="1" si="77"/>
        <v>7.5</v>
      </c>
      <c r="H89" s="2">
        <f t="shared" ca="1" si="77"/>
        <v>7.5</v>
      </c>
      <c r="I89" s="2">
        <f t="shared" ref="I89" ca="1" si="78">H127</f>
        <v>7.5</v>
      </c>
      <c r="J89" s="2">
        <f t="shared" ref="J89" ca="1" si="79">I127</f>
        <v>7.5</v>
      </c>
    </row>
    <row r="90" spans="1:10" x14ac:dyDescent="0.2">
      <c r="B90" s="2" t="s">
        <v>71</v>
      </c>
      <c r="D90" s="18">
        <f ca="1">D80</f>
        <v>17.007672634271103</v>
      </c>
      <c r="E90" s="18">
        <f t="shared" ref="E90:H90" ca="1" si="80">E80</f>
        <v>20.532322525362876</v>
      </c>
      <c r="F90" s="18">
        <f t="shared" ca="1" si="80"/>
        <v>24.438567552105926</v>
      </c>
      <c r="G90" s="18">
        <f t="shared" ca="1" si="80"/>
        <v>24.374754192331856</v>
      </c>
      <c r="H90" s="18">
        <f t="shared" ca="1" si="80"/>
        <v>28.045647109655558</v>
      </c>
      <c r="I90" s="18">
        <f t="shared" ref="I90:J90" ca="1" si="81">I80</f>
        <v>32.029681244447396</v>
      </c>
      <c r="J90" s="18">
        <f t="shared" ca="1" si="81"/>
        <v>36.352128168217618</v>
      </c>
    </row>
    <row r="91" spans="1:10" x14ac:dyDescent="0.2">
      <c r="B91" s="2" t="s">
        <v>72</v>
      </c>
      <c r="D91" s="2">
        <f>-$J$20</f>
        <v>-7.5</v>
      </c>
      <c r="E91" s="2">
        <f>D91</f>
        <v>-7.5</v>
      </c>
      <c r="F91" s="2">
        <f t="shared" ref="F91:H91" si="82">E91</f>
        <v>-7.5</v>
      </c>
      <c r="G91" s="2">
        <f t="shared" si="82"/>
        <v>-7.5</v>
      </c>
      <c r="H91" s="2">
        <f t="shared" si="82"/>
        <v>-7.5</v>
      </c>
      <c r="I91" s="2">
        <f t="shared" ref="I91" si="83">H91</f>
        <v>-7.5</v>
      </c>
      <c r="J91" s="2">
        <f t="shared" ref="J91" si="84">I91</f>
        <v>-7.5</v>
      </c>
    </row>
    <row r="92" spans="1:10" x14ac:dyDescent="0.2">
      <c r="B92" s="13" t="s">
        <v>73</v>
      </c>
      <c r="C92" s="13"/>
      <c r="D92" s="33">
        <f ca="1">SUM(D89:D91)</f>
        <v>17.007672634271103</v>
      </c>
      <c r="E92" s="33">
        <f t="shared" ref="E92:H92" ca="1" si="85">SUM(E89:E91)</f>
        <v>20.532322525362876</v>
      </c>
      <c r="F92" s="33">
        <f t="shared" ca="1" si="85"/>
        <v>24.438567552105926</v>
      </c>
      <c r="G92" s="33">
        <f t="shared" ca="1" si="85"/>
        <v>24.374754192331856</v>
      </c>
      <c r="H92" s="33">
        <f t="shared" ca="1" si="85"/>
        <v>28.045647109655562</v>
      </c>
      <c r="I92" s="33">
        <f t="shared" ref="I92:J92" ca="1" si="86">SUM(I89:I91)</f>
        <v>32.029681244447396</v>
      </c>
      <c r="J92" s="33">
        <f t="shared" ca="1" si="86"/>
        <v>36.352128168217618</v>
      </c>
    </row>
    <row r="94" spans="1:10" ht="15" x14ac:dyDescent="0.25">
      <c r="B94" s="1" t="s">
        <v>32</v>
      </c>
    </row>
    <row r="95" spans="1:10" x14ac:dyDescent="0.2">
      <c r="B95" s="2" t="s">
        <v>74</v>
      </c>
      <c r="D95" s="18">
        <f>C30</f>
        <v>175</v>
      </c>
      <c r="E95" s="18">
        <f ca="1">D97</f>
        <v>157.9923273657289</v>
      </c>
      <c r="F95" s="18">
        <f t="shared" ref="F95:H95" ca="1" si="87">E97</f>
        <v>137.46000484036603</v>
      </c>
      <c r="G95" s="18">
        <v>0</v>
      </c>
      <c r="H95" s="18">
        <f t="shared" si="87"/>
        <v>0</v>
      </c>
      <c r="I95" s="18">
        <f t="shared" ref="I95" ca="1" si="88">H97</f>
        <v>0</v>
      </c>
      <c r="J95" s="18">
        <f t="shared" ref="J95" ca="1" si="89">I97</f>
        <v>0</v>
      </c>
    </row>
    <row r="96" spans="1:10" x14ac:dyDescent="0.2">
      <c r="B96" s="2" t="s">
        <v>75</v>
      </c>
      <c r="D96" s="34">
        <f ca="1">-MAX(MIN(D95,D92))</f>
        <v>-17.007672634271103</v>
      </c>
      <c r="E96" s="34">
        <f ca="1">-MAX(MIN(E95,E92))</f>
        <v>-20.532322525362876</v>
      </c>
      <c r="F96" s="34">
        <f t="shared" ref="F96:H96" ca="1" si="90">-MAX(MIN(F95,F92))</f>
        <v>-24.438567552105926</v>
      </c>
      <c r="G96" s="34">
        <v>0</v>
      </c>
      <c r="H96" s="34">
        <f t="shared" ca="1" si="90"/>
        <v>0</v>
      </c>
      <c r="I96" s="34">
        <f t="shared" ref="I96:J96" ca="1" si="91">-MAX(MIN(I95,I92))</f>
        <v>0</v>
      </c>
      <c r="J96" s="34">
        <f t="shared" ca="1" si="91"/>
        <v>0</v>
      </c>
    </row>
    <row r="97" spans="2:10" x14ac:dyDescent="0.2">
      <c r="B97" s="13" t="s">
        <v>76</v>
      </c>
      <c r="C97" s="13"/>
      <c r="D97" s="32">
        <f ca="1">SUM(D95:D96)</f>
        <v>157.9923273657289</v>
      </c>
      <c r="E97" s="32">
        <f ca="1">SUM(E95:E96)</f>
        <v>137.46000484036603</v>
      </c>
      <c r="F97" s="32">
        <f t="shared" ref="F97:H97" ca="1" si="92">SUM(F95:F96)</f>
        <v>113.0214372882601</v>
      </c>
      <c r="G97" s="32">
        <f t="shared" si="92"/>
        <v>0</v>
      </c>
      <c r="H97" s="32">
        <f t="shared" ca="1" si="92"/>
        <v>0</v>
      </c>
      <c r="I97" s="32">
        <f t="shared" ref="I97:J97" ca="1" si="93">SUM(I95:I96)</f>
        <v>0</v>
      </c>
      <c r="J97" s="32">
        <f t="shared" ca="1" si="93"/>
        <v>0</v>
      </c>
    </row>
    <row r="98" spans="2:10" x14ac:dyDescent="0.2">
      <c r="B98" s="2" t="s">
        <v>58</v>
      </c>
      <c r="D98" s="35">
        <f ca="1">AVERAGE(D95,D97)*(D87+($G$12/10000))</f>
        <v>9.9897698209718673</v>
      </c>
      <c r="E98" s="35">
        <f ca="1">AVERAGE(E95,E97)*(E87+($G$12/10000))</f>
        <v>8.8635699661828475</v>
      </c>
      <c r="F98" s="35">
        <f ca="1">AVERAGE(F95,F97)*(F87+($G$12/10000))</f>
        <v>7.5144432638587837</v>
      </c>
      <c r="G98" s="35">
        <f>AVERAGE(G95,G97)*(G87+($G$12/10000))</f>
        <v>0</v>
      </c>
      <c r="H98" s="35">
        <f ca="1">AVERAGE(H95,H97)*(H87+($G$12/10000))</f>
        <v>0</v>
      </c>
      <c r="I98" s="35">
        <f t="shared" ref="I98:J98" ca="1" si="94">AVERAGE(I95,I97)*(I87+($G$12/10000))</f>
        <v>0</v>
      </c>
      <c r="J98" s="35">
        <f t="shared" ca="1" si="94"/>
        <v>0</v>
      </c>
    </row>
    <row r="100" spans="2:10" x14ac:dyDescent="0.2">
      <c r="B100" s="2" t="s">
        <v>77</v>
      </c>
      <c r="D100" s="34">
        <f ca="1">D92+D96</f>
        <v>0</v>
      </c>
      <c r="E100" s="34">
        <f t="shared" ref="E100:H100" ca="1" si="95">E92+E96</f>
        <v>0</v>
      </c>
      <c r="F100" s="34">
        <f t="shared" ca="1" si="95"/>
        <v>0</v>
      </c>
      <c r="G100" s="34">
        <f t="shared" ca="1" si="95"/>
        <v>24.374754192331856</v>
      </c>
      <c r="H100" s="34">
        <f t="shared" ca="1" si="95"/>
        <v>28.045647109655562</v>
      </c>
      <c r="I100" s="34">
        <f t="shared" ref="I100:J100" ca="1" si="96">I92+I96</f>
        <v>32.029681244447396</v>
      </c>
      <c r="J100" s="34">
        <f t="shared" ca="1" si="96"/>
        <v>36.352128168217618</v>
      </c>
    </row>
    <row r="102" spans="2:10" ht="15" x14ac:dyDescent="0.25">
      <c r="B102" s="1" t="s">
        <v>33</v>
      </c>
    </row>
    <row r="103" spans="2:10" x14ac:dyDescent="0.2">
      <c r="B103" s="2" t="s">
        <v>74</v>
      </c>
      <c r="D103" s="18">
        <f>C31</f>
        <v>75</v>
      </c>
      <c r="E103" s="18">
        <f ca="1">D105</f>
        <v>75</v>
      </c>
      <c r="F103" s="18">
        <f t="shared" ref="F103:H103" ca="1" si="97">E105</f>
        <v>75</v>
      </c>
      <c r="G103" s="18">
        <v>0</v>
      </c>
      <c r="H103" s="18">
        <f t="shared" ca="1" si="97"/>
        <v>0</v>
      </c>
      <c r="I103" s="18">
        <f t="shared" ref="I103" ca="1" si="98">H105</f>
        <v>0</v>
      </c>
      <c r="J103" s="18">
        <f t="shared" ref="J103" ca="1" si="99">I105</f>
        <v>0</v>
      </c>
    </row>
    <row r="104" spans="2:10" x14ac:dyDescent="0.2">
      <c r="B104" s="2" t="s">
        <v>75</v>
      </c>
      <c r="D104" s="34">
        <f ca="1">-MAX(MIN(D103,D100))</f>
        <v>0</v>
      </c>
      <c r="E104" s="34">
        <f ca="1">-MAX(MIN(E103,E100))</f>
        <v>0</v>
      </c>
      <c r="F104" s="34">
        <f t="shared" ref="F104:H104" ca="1" si="100">-MAX(MIN(F103,F100))</f>
        <v>0</v>
      </c>
      <c r="G104" s="34">
        <f t="shared" ca="1" si="100"/>
        <v>0</v>
      </c>
      <c r="H104" s="34">
        <f t="shared" ca="1" si="100"/>
        <v>0</v>
      </c>
      <c r="I104" s="34">
        <f t="shared" ref="I104:J104" ca="1" si="101">-MAX(MIN(I103,I100))</f>
        <v>0</v>
      </c>
      <c r="J104" s="34">
        <f t="shared" ca="1" si="101"/>
        <v>0</v>
      </c>
    </row>
    <row r="105" spans="2:10" x14ac:dyDescent="0.2">
      <c r="B105" s="13" t="s">
        <v>76</v>
      </c>
      <c r="C105" s="13"/>
      <c r="D105" s="32">
        <f ca="1">SUM(D103:D104)</f>
        <v>75</v>
      </c>
      <c r="E105" s="32">
        <f ca="1">SUM(E103:E104)</f>
        <v>75</v>
      </c>
      <c r="F105" s="32">
        <f t="shared" ref="F105:H105" ca="1" si="102">SUM(F103:F104)</f>
        <v>75</v>
      </c>
      <c r="G105" s="32">
        <f t="shared" ca="1" si="102"/>
        <v>0</v>
      </c>
      <c r="H105" s="32">
        <f t="shared" ca="1" si="102"/>
        <v>0</v>
      </c>
      <c r="I105" s="32">
        <f t="shared" ref="I105:J105" ca="1" si="103">SUM(I103:I104)</f>
        <v>0</v>
      </c>
      <c r="J105" s="32">
        <f t="shared" ca="1" si="103"/>
        <v>0</v>
      </c>
    </row>
    <row r="106" spans="2:10" x14ac:dyDescent="0.2">
      <c r="B106" s="2" t="s">
        <v>58</v>
      </c>
      <c r="D106" s="35">
        <f ca="1">AVERAGE(D103,D105)*($G$13)</f>
        <v>12</v>
      </c>
      <c r="E106" s="35">
        <f ca="1">AVERAGE(E103,E105)*($G$13)</f>
        <v>12</v>
      </c>
      <c r="F106" s="35">
        <f ca="1">AVERAGE(F103,F105)*($G$13)</f>
        <v>12</v>
      </c>
      <c r="G106" s="35">
        <f ca="1">AVERAGE(G103,G105)*($G$13)</f>
        <v>0</v>
      </c>
      <c r="H106" s="35">
        <f ca="1">AVERAGE(H103,H105)*($G$13)</f>
        <v>0</v>
      </c>
      <c r="I106" s="35">
        <f t="shared" ref="I106:J106" ca="1" si="104">AVERAGE(I103,I105)*($G$13)</f>
        <v>0</v>
      </c>
      <c r="J106" s="35">
        <f t="shared" ca="1" si="104"/>
        <v>0</v>
      </c>
    </row>
    <row r="108" spans="2:10" x14ac:dyDescent="0.2">
      <c r="B108" s="2" t="s">
        <v>77</v>
      </c>
      <c r="D108" s="34">
        <f ca="1">D100+D104</f>
        <v>0</v>
      </c>
      <c r="E108" s="34">
        <f t="shared" ref="E108:H108" ca="1" si="105">E100+E104</f>
        <v>0</v>
      </c>
      <c r="F108" s="34">
        <f t="shared" ca="1" si="105"/>
        <v>0</v>
      </c>
      <c r="G108" s="34">
        <f t="shared" ca="1" si="105"/>
        <v>24.374754192331856</v>
      </c>
      <c r="H108" s="34">
        <f t="shared" ca="1" si="105"/>
        <v>28.045647109655562</v>
      </c>
      <c r="I108" s="34">
        <f t="shared" ref="I108:J108" ca="1" si="106">I100+I104</f>
        <v>32.029681244447396</v>
      </c>
      <c r="J108" s="34">
        <f t="shared" ca="1" si="106"/>
        <v>36.352128168217618</v>
      </c>
    </row>
    <row r="109" spans="2:10" x14ac:dyDescent="0.2">
      <c r="D109" s="34"/>
      <c r="E109" s="34"/>
      <c r="F109" s="34"/>
      <c r="G109" s="34"/>
      <c r="H109" s="34"/>
      <c r="I109" s="34"/>
      <c r="J109" s="34"/>
    </row>
    <row r="110" spans="2:10" ht="15" x14ac:dyDescent="0.25">
      <c r="B110" s="1" t="s">
        <v>103</v>
      </c>
    </row>
    <row r="111" spans="2:10" x14ac:dyDescent="0.2">
      <c r="B111" s="2" t="s">
        <v>74</v>
      </c>
      <c r="D111" s="18"/>
      <c r="E111" s="18"/>
      <c r="F111" s="18"/>
      <c r="G111" s="18">
        <f>F75*F12</f>
        <v>286.58448000000004</v>
      </c>
      <c r="H111" s="18">
        <f t="shared" ref="H111" ca="1" si="107">G113</f>
        <v>262.20972580766818</v>
      </c>
      <c r="I111" s="18">
        <f t="shared" ref="I111" ca="1" si="108">H113</f>
        <v>234.16407869801262</v>
      </c>
      <c r="J111" s="18">
        <f t="shared" ref="J111" ca="1" si="109">I113</f>
        <v>202.13439745356521</v>
      </c>
    </row>
    <row r="112" spans="2:10" x14ac:dyDescent="0.2">
      <c r="B112" s="2" t="s">
        <v>75</v>
      </c>
      <c r="D112" s="34"/>
      <c r="E112" s="34"/>
      <c r="F112" s="34"/>
      <c r="G112" s="34">
        <f ca="1">-MAX(MIN(G111,G108))</f>
        <v>-24.374754192331856</v>
      </c>
      <c r="H112" s="34">
        <f t="shared" ref="H112:J112" ca="1" si="110">-MAX(MIN(H111,H108))</f>
        <v>-28.045647109655562</v>
      </c>
      <c r="I112" s="34">
        <f t="shared" ca="1" si="110"/>
        <v>-32.029681244447396</v>
      </c>
      <c r="J112" s="34">
        <f t="shared" ca="1" si="110"/>
        <v>-36.352128168217618</v>
      </c>
    </row>
    <row r="113" spans="2:10" x14ac:dyDescent="0.2">
      <c r="B113" s="13" t="s">
        <v>76</v>
      </c>
      <c r="C113" s="13"/>
      <c r="D113" s="32"/>
      <c r="E113" s="32"/>
      <c r="F113" s="32"/>
      <c r="G113" s="32">
        <f t="shared" ref="G113:H113" ca="1" si="111">SUM(G111:G112)</f>
        <v>262.20972580766818</v>
      </c>
      <c r="H113" s="32">
        <f t="shared" ca="1" si="111"/>
        <v>234.16407869801262</v>
      </c>
      <c r="I113" s="32">
        <f t="shared" ref="I113:J113" ca="1" si="112">SUM(I111:I112)</f>
        <v>202.13439745356521</v>
      </c>
      <c r="J113" s="32">
        <f t="shared" ca="1" si="112"/>
        <v>165.78226928534758</v>
      </c>
    </row>
    <row r="114" spans="2:10" x14ac:dyDescent="0.2">
      <c r="B114" s="2" t="s">
        <v>58</v>
      </c>
      <c r="D114" s="35"/>
      <c r="E114" s="35"/>
      <c r="F114" s="35"/>
      <c r="G114" s="35">
        <f ca="1">AVERAGE(G111,G113)*(G101+($G$12/10000))</f>
        <v>4.1159565435575116</v>
      </c>
      <c r="H114" s="35">
        <f ca="1">AVERAGE(H111,H113)*(H101+($G$12/10000))</f>
        <v>3.722803533792606</v>
      </c>
      <c r="I114" s="35">
        <f t="shared" ref="I114:J114" ca="1" si="113">AVERAGE(I111,I113)*(I101+($G$12/10000))</f>
        <v>3.2722385711368336</v>
      </c>
      <c r="J114" s="35">
        <f t="shared" ca="1" si="113"/>
        <v>2.759375000541846</v>
      </c>
    </row>
    <row r="116" spans="2:10" x14ac:dyDescent="0.2">
      <c r="B116" s="2" t="s">
        <v>77</v>
      </c>
      <c r="D116" s="34">
        <f t="shared" ref="D116:E116" ca="1" si="114">D108+D112</f>
        <v>0</v>
      </c>
      <c r="E116" s="34">
        <f t="shared" ca="1" si="114"/>
        <v>0</v>
      </c>
      <c r="F116" s="34">
        <f ca="1">F108+F112</f>
        <v>0</v>
      </c>
      <c r="G116" s="34">
        <f t="shared" ref="G116:H116" ca="1" si="115">G108+G112</f>
        <v>0</v>
      </c>
      <c r="H116" s="34">
        <f t="shared" ca="1" si="115"/>
        <v>0</v>
      </c>
      <c r="I116" s="34">
        <f t="shared" ref="I116:J116" ca="1" si="116">I108+I112</f>
        <v>0</v>
      </c>
      <c r="J116" s="34">
        <f t="shared" ca="1" si="116"/>
        <v>0</v>
      </c>
    </row>
    <row r="118" spans="2:10" ht="15" x14ac:dyDescent="0.25">
      <c r="B118" s="1" t="s">
        <v>104</v>
      </c>
    </row>
    <row r="119" spans="2:10" x14ac:dyDescent="0.2">
      <c r="B119" s="2" t="s">
        <v>74</v>
      </c>
      <c r="D119" s="18"/>
      <c r="E119" s="18"/>
      <c r="F119" s="18"/>
      <c r="G119" s="18">
        <f>F75*F13</f>
        <v>122.82192000000003</v>
      </c>
      <c r="H119" s="18">
        <f t="shared" ref="H119" ca="1" si="117">G121</f>
        <v>122.82192000000003</v>
      </c>
      <c r="I119" s="18">
        <f t="shared" ref="I119" ca="1" si="118">H121</f>
        <v>122.82192000000003</v>
      </c>
      <c r="J119" s="18">
        <f t="shared" ref="J119" ca="1" si="119">I121</f>
        <v>122.82192000000003</v>
      </c>
    </row>
    <row r="120" spans="2:10" x14ac:dyDescent="0.2">
      <c r="B120" s="2" t="s">
        <v>75</v>
      </c>
      <c r="D120" s="34"/>
      <c r="E120" s="34"/>
      <c r="F120" s="34">
        <f t="shared" ref="F120:H120" ca="1" si="120">-MAX(MIN(F119,F116))</f>
        <v>0</v>
      </c>
      <c r="G120" s="34">
        <f t="shared" ca="1" si="120"/>
        <v>0</v>
      </c>
      <c r="H120" s="34">
        <f t="shared" ca="1" si="120"/>
        <v>0</v>
      </c>
      <c r="I120" s="34">
        <f t="shared" ref="I120:J120" ca="1" si="121">-MAX(MIN(I119,I116))</f>
        <v>0</v>
      </c>
      <c r="J120" s="34">
        <f t="shared" ca="1" si="121"/>
        <v>0</v>
      </c>
    </row>
    <row r="121" spans="2:10" x14ac:dyDescent="0.2">
      <c r="B121" s="13" t="s">
        <v>76</v>
      </c>
      <c r="C121" s="13"/>
      <c r="D121" s="32"/>
      <c r="E121" s="32"/>
      <c r="F121" s="32">
        <f t="shared" ref="F121:H121" ca="1" si="122">SUM(F119:F120)</f>
        <v>0</v>
      </c>
      <c r="G121" s="32">
        <f t="shared" ca="1" si="122"/>
        <v>122.82192000000003</v>
      </c>
      <c r="H121" s="32">
        <f t="shared" ca="1" si="122"/>
        <v>122.82192000000003</v>
      </c>
      <c r="I121" s="32">
        <f t="shared" ref="I121:J121" ca="1" si="123">SUM(I119:I120)</f>
        <v>122.82192000000003</v>
      </c>
      <c r="J121" s="32">
        <f t="shared" ca="1" si="123"/>
        <v>122.82192000000003</v>
      </c>
    </row>
    <row r="122" spans="2:10" x14ac:dyDescent="0.2">
      <c r="B122" s="2" t="s">
        <v>58</v>
      </c>
      <c r="D122" s="35"/>
      <c r="E122" s="35"/>
      <c r="F122" s="35">
        <f ca="1">AVERAGE(F119,F121)*($G$13)</f>
        <v>0</v>
      </c>
      <c r="G122" s="35">
        <f ca="1">AVERAGE(G119,G121)*($G$13)</f>
        <v>19.651507200000005</v>
      </c>
      <c r="H122" s="35">
        <f ca="1">AVERAGE(H119,H121)*($G$13)</f>
        <v>19.651507200000005</v>
      </c>
      <c r="I122" s="35">
        <f t="shared" ref="I122:J122" ca="1" si="124">AVERAGE(I119,I121)*($G$13)</f>
        <v>19.651507200000005</v>
      </c>
      <c r="J122" s="35">
        <f t="shared" ca="1" si="124"/>
        <v>19.651507200000005</v>
      </c>
    </row>
    <row r="125" spans="2:10" x14ac:dyDescent="0.2">
      <c r="B125" s="2" t="s">
        <v>70</v>
      </c>
      <c r="D125" s="2">
        <f>D89</f>
        <v>7.5</v>
      </c>
      <c r="E125" s="2">
        <f ca="1">D127</f>
        <v>7.5</v>
      </c>
      <c r="F125" s="2">
        <f t="shared" ref="F125:H125" ca="1" si="125">E127</f>
        <v>7.5</v>
      </c>
      <c r="G125" s="2">
        <f t="shared" ca="1" si="125"/>
        <v>7.5</v>
      </c>
      <c r="H125" s="2">
        <f t="shared" ca="1" si="125"/>
        <v>7.5</v>
      </c>
      <c r="I125" s="2">
        <f t="shared" ref="I125" ca="1" si="126">H127</f>
        <v>7.5</v>
      </c>
      <c r="J125" s="2">
        <f t="shared" ref="J125" ca="1" si="127">I127</f>
        <v>7.5</v>
      </c>
    </row>
    <row r="126" spans="2:10" x14ac:dyDescent="0.2">
      <c r="B126" s="2" t="s">
        <v>78</v>
      </c>
      <c r="D126" s="34">
        <f t="shared" ref="D126:J126" ca="1" si="128">D92+D96+D104+D112+D120</f>
        <v>0</v>
      </c>
      <c r="E126" s="34">
        <f t="shared" ca="1" si="128"/>
        <v>0</v>
      </c>
      <c r="F126" s="34">
        <f t="shared" ca="1" si="128"/>
        <v>0</v>
      </c>
      <c r="G126" s="34">
        <f t="shared" ca="1" si="128"/>
        <v>0</v>
      </c>
      <c r="H126" s="34">
        <f t="shared" ca="1" si="128"/>
        <v>0</v>
      </c>
      <c r="I126" s="34">
        <f t="shared" ca="1" si="128"/>
        <v>0</v>
      </c>
      <c r="J126" s="34">
        <f t="shared" ca="1" si="128"/>
        <v>0</v>
      </c>
    </row>
    <row r="127" spans="2:10" x14ac:dyDescent="0.2">
      <c r="B127" s="2" t="s">
        <v>79</v>
      </c>
      <c r="D127" s="2">
        <f ca="1">SUM(D125:D126)</f>
        <v>7.5</v>
      </c>
      <c r="E127" s="2">
        <f ca="1">SUM(E125:E126)</f>
        <v>7.5</v>
      </c>
      <c r="F127" s="2">
        <f t="shared" ref="F127:H127" ca="1" si="129">SUM(F125:F126)</f>
        <v>7.5</v>
      </c>
      <c r="G127" s="2">
        <f t="shared" ca="1" si="129"/>
        <v>7.5</v>
      </c>
      <c r="H127" s="2">
        <f t="shared" ca="1" si="129"/>
        <v>7.5</v>
      </c>
      <c r="I127" s="2">
        <f t="shared" ref="I127:J127" ca="1" si="130">SUM(I125:I126)</f>
        <v>7.5</v>
      </c>
      <c r="J127" s="2">
        <f t="shared" ca="1" si="130"/>
        <v>7.5</v>
      </c>
    </row>
    <row r="129" spans="1:10" ht="15" x14ac:dyDescent="0.25">
      <c r="A129" s="55" t="s">
        <v>24</v>
      </c>
      <c r="B129" s="53" t="s">
        <v>80</v>
      </c>
      <c r="C129" s="54"/>
      <c r="D129" s="54"/>
      <c r="E129" s="54"/>
      <c r="F129" s="54"/>
      <c r="G129" s="54"/>
      <c r="H129" s="54"/>
      <c r="I129" s="54"/>
      <c r="J129" s="54"/>
    </row>
    <row r="131" spans="1:10" ht="15" x14ac:dyDescent="0.25">
      <c r="B131" s="26"/>
      <c r="C131" s="26"/>
      <c r="D131" s="27">
        <v>1</v>
      </c>
      <c r="E131" s="27">
        <f>D131+1</f>
        <v>2</v>
      </c>
      <c r="F131" s="27">
        <f t="shared" ref="F131:H131" si="131">E131+1</f>
        <v>3</v>
      </c>
      <c r="G131" s="27">
        <f t="shared" si="131"/>
        <v>4</v>
      </c>
      <c r="H131" s="27">
        <f t="shared" si="131"/>
        <v>5</v>
      </c>
      <c r="I131" s="27">
        <f t="shared" ref="I131" si="132">H131+1</f>
        <v>6</v>
      </c>
      <c r="J131" s="27">
        <f t="shared" ref="J131" si="133">I131+1</f>
        <v>7</v>
      </c>
    </row>
    <row r="133" spans="1:10" x14ac:dyDescent="0.2">
      <c r="B133" s="2" t="s">
        <v>81</v>
      </c>
      <c r="D133" s="18">
        <f t="shared" ref="D133:J134" ca="1" si="134">SUM(D97,D105,D113,D121)</f>
        <v>232.9923273657289</v>
      </c>
      <c r="E133" s="18">
        <f t="shared" ca="1" si="134"/>
        <v>212.46000484036603</v>
      </c>
      <c r="F133" s="18">
        <f t="shared" ca="1" si="134"/>
        <v>188.0214372882601</v>
      </c>
      <c r="G133" s="18">
        <f t="shared" ca="1" si="134"/>
        <v>385.03164580766821</v>
      </c>
      <c r="H133" s="18">
        <f t="shared" ca="1" si="134"/>
        <v>356.98599869801262</v>
      </c>
      <c r="I133" s="18">
        <f t="shared" ca="1" si="134"/>
        <v>324.95631745356525</v>
      </c>
      <c r="J133" s="18">
        <f t="shared" ca="1" si="134"/>
        <v>288.60418928534762</v>
      </c>
    </row>
    <row r="134" spans="1:10" x14ac:dyDescent="0.2">
      <c r="B134" s="2" t="s">
        <v>82</v>
      </c>
      <c r="D134" s="35">
        <f t="shared" ca="1" si="134"/>
        <v>21.989769820971865</v>
      </c>
      <c r="E134" s="35">
        <f t="shared" ca="1" si="134"/>
        <v>20.863569966182848</v>
      </c>
      <c r="F134" s="35">
        <f t="shared" ca="1" si="134"/>
        <v>19.514443263858784</v>
      </c>
      <c r="G134" s="35">
        <f t="shared" ca="1" si="134"/>
        <v>23.767463743557517</v>
      </c>
      <c r="H134" s="35">
        <f t="shared" ca="1" si="134"/>
        <v>23.374310733792612</v>
      </c>
      <c r="I134" s="35">
        <f t="shared" ca="1" si="134"/>
        <v>22.923745771136836</v>
      </c>
      <c r="J134" s="35">
        <f t="shared" ca="1" si="134"/>
        <v>22.410882200541849</v>
      </c>
    </row>
    <row r="136" spans="1:10" x14ac:dyDescent="0.2">
      <c r="B136" s="36" t="s">
        <v>83</v>
      </c>
      <c r="C136" s="36"/>
      <c r="D136" s="37">
        <f t="shared" ref="D136:J136" ca="1" si="135">D133/D75</f>
        <v>3.3189790223038296</v>
      </c>
      <c r="E136" s="37">
        <f t="shared" ca="1" si="135"/>
        <v>2.8023109217100077</v>
      </c>
      <c r="F136" s="37">
        <f t="shared" ca="1" si="135"/>
        <v>2.2962689064980428</v>
      </c>
      <c r="G136" s="37">
        <f t="shared" ca="1" si="135"/>
        <v>4.3539962144613318</v>
      </c>
      <c r="H136" s="37">
        <f t="shared" ca="1" si="135"/>
        <v>3.7378257275412401</v>
      </c>
      <c r="I136" s="37">
        <f t="shared" ca="1" si="135"/>
        <v>3.1504246357387826</v>
      </c>
      <c r="J136" s="37">
        <f t="shared" ca="1" si="135"/>
        <v>2.5907349612371564</v>
      </c>
    </row>
    <row r="137" spans="1:10" x14ac:dyDescent="0.2">
      <c r="B137" s="2" t="s">
        <v>84</v>
      </c>
      <c r="D137" s="37">
        <f t="shared" ref="D137:J137" ca="1" si="136">(SUM(D97,D105)-D127)/D75</f>
        <v>3.2121414154662227</v>
      </c>
      <c r="E137" s="37">
        <f t="shared" ca="1" si="136"/>
        <v>2.7033872116751865</v>
      </c>
      <c r="F137" s="37">
        <f t="shared" ca="1" si="136"/>
        <v>2.2046728786880232</v>
      </c>
      <c r="G137" s="37">
        <f t="shared" ca="1" si="136"/>
        <v>-8.4811136861129233E-2</v>
      </c>
      <c r="H137" s="37">
        <f t="shared" ca="1" si="136"/>
        <v>-7.8528830426971494E-2</v>
      </c>
      <c r="I137" s="37">
        <f t="shared" ca="1" si="136"/>
        <v>-7.2711880024973599E-2</v>
      </c>
      <c r="J137" s="37">
        <f t="shared" ca="1" si="136"/>
        <v>-6.7325814837938522E-2</v>
      </c>
    </row>
    <row r="139" spans="1:10" x14ac:dyDescent="0.2">
      <c r="B139" s="2" t="s">
        <v>85</v>
      </c>
      <c r="D139" s="37">
        <f ca="1">D75/D134</f>
        <v>3.192393579902304</v>
      </c>
      <c r="E139" s="37">
        <f t="shared" ref="E139:J139" ca="1" si="137">E75/E134</f>
        <v>3.6338939176223426</v>
      </c>
      <c r="F139" s="37">
        <f t="shared" ca="1" si="137"/>
        <v>4.1959321561402732</v>
      </c>
      <c r="G139" s="37">
        <f t="shared" ca="1" si="137"/>
        <v>3.7207075754547265</v>
      </c>
      <c r="H139" s="37">
        <f t="shared" ca="1" si="137"/>
        <v>4.0859525690280583</v>
      </c>
      <c r="I139" s="37">
        <f t="shared" ca="1" si="137"/>
        <v>4.4995626814720504</v>
      </c>
      <c r="J139" s="37">
        <f t="shared" ca="1" si="137"/>
        <v>4.9707359341693138</v>
      </c>
    </row>
    <row r="141" spans="1:10" ht="15" x14ac:dyDescent="0.25">
      <c r="A141" s="55" t="s">
        <v>24</v>
      </c>
      <c r="B141" s="53" t="s">
        <v>86</v>
      </c>
      <c r="C141" s="54"/>
      <c r="D141" s="54"/>
      <c r="E141" s="54"/>
      <c r="F141" s="54"/>
      <c r="G141" s="54"/>
      <c r="H141" s="54"/>
      <c r="I141" s="54"/>
      <c r="J141" s="54"/>
    </row>
    <row r="143" spans="1:10" ht="15" x14ac:dyDescent="0.25">
      <c r="B143" s="1" t="s">
        <v>106</v>
      </c>
    </row>
    <row r="144" spans="1:10" x14ac:dyDescent="0.2">
      <c r="B144" s="2" t="s">
        <v>107</v>
      </c>
      <c r="F144" s="18">
        <f>SUM(G111,G119)</f>
        <v>409.40640000000008</v>
      </c>
    </row>
    <row r="145" spans="2:10" x14ac:dyDescent="0.2">
      <c r="B145" s="2" t="s">
        <v>108</v>
      </c>
      <c r="F145" s="18">
        <f ca="1">SUM(F97,F105)</f>
        <v>188.0214372882601</v>
      </c>
    </row>
    <row r="146" spans="2:10" x14ac:dyDescent="0.2">
      <c r="B146" s="2" t="s">
        <v>109</v>
      </c>
      <c r="F146" s="18">
        <f ca="1">-F105*(H13-100)/100</f>
        <v>-3.75</v>
      </c>
    </row>
    <row r="147" spans="2:10" x14ac:dyDescent="0.2">
      <c r="B147" s="13" t="s">
        <v>110</v>
      </c>
      <c r="C147" s="13"/>
      <c r="D147" s="13"/>
      <c r="E147" s="13"/>
      <c r="F147" s="32">
        <f ca="1">SUM(F144:F146)</f>
        <v>593.67783728826021</v>
      </c>
      <c r="G147" s="13"/>
      <c r="H147" s="13"/>
      <c r="I147" s="13"/>
      <c r="J147" s="13"/>
    </row>
    <row r="149" spans="2:10" ht="15" x14ac:dyDescent="0.25">
      <c r="B149" s="1" t="s">
        <v>112</v>
      </c>
    </row>
    <row r="150" spans="2:10" x14ac:dyDescent="0.2">
      <c r="B150" s="2" t="s">
        <v>87</v>
      </c>
      <c r="J150" s="18">
        <f>J75</f>
        <v>111.39857747066884</v>
      </c>
    </row>
    <row r="151" spans="2:10" x14ac:dyDescent="0.2">
      <c r="B151" s="2" t="s">
        <v>40</v>
      </c>
      <c r="J151" s="19">
        <f>J24</f>
        <v>6.5</v>
      </c>
    </row>
    <row r="152" spans="2:10" ht="15" x14ac:dyDescent="0.25">
      <c r="B152" s="22" t="s">
        <v>88</v>
      </c>
      <c r="C152" s="22"/>
      <c r="D152" s="22"/>
      <c r="E152" s="22"/>
      <c r="F152" s="22"/>
      <c r="G152" s="22"/>
      <c r="H152" s="22"/>
      <c r="I152" s="22"/>
      <c r="J152" s="38">
        <f>J150*J151</f>
        <v>724.09075355934749</v>
      </c>
    </row>
    <row r="153" spans="2:10" x14ac:dyDescent="0.2">
      <c r="B153" s="2" t="s">
        <v>89</v>
      </c>
      <c r="J153" s="18">
        <f ca="1">-(J133-J127)</f>
        <v>-281.10418928534762</v>
      </c>
    </row>
    <row r="154" spans="2:10" ht="15" x14ac:dyDescent="0.25">
      <c r="B154" s="39" t="s">
        <v>90</v>
      </c>
      <c r="C154" s="40"/>
      <c r="D154" s="40"/>
      <c r="E154" s="40"/>
      <c r="F154" s="40"/>
      <c r="G154" s="40"/>
      <c r="H154" s="40"/>
      <c r="I154" s="40"/>
      <c r="J154" s="41">
        <f ca="1">SUM(J152:J153)</f>
        <v>442.98656427399987</v>
      </c>
    </row>
    <row r="155" spans="2:10" x14ac:dyDescent="0.2">
      <c r="B155" s="13" t="s">
        <v>91</v>
      </c>
      <c r="C155" s="13"/>
      <c r="D155" s="13"/>
      <c r="E155" s="13"/>
      <c r="F155" s="13"/>
      <c r="G155" s="13"/>
      <c r="H155" s="13"/>
      <c r="I155" s="13"/>
      <c r="J155" s="33">
        <f ca="1">IF(J154&gt;C32,C32*$J$25)</f>
        <v>34</v>
      </c>
    </row>
    <row r="156" spans="2:10" x14ac:dyDescent="0.2">
      <c r="B156" s="2" t="s">
        <v>92</v>
      </c>
      <c r="J156" s="34">
        <f ca="1">IF(J155&gt;0,-(J25/(1+J25))*SUM(J154:J155),0)</f>
        <v>-43.362414933999993</v>
      </c>
    </row>
    <row r="157" spans="2:10" ht="15" x14ac:dyDescent="0.25">
      <c r="B157" s="22" t="s">
        <v>93</v>
      </c>
      <c r="C157" s="13"/>
      <c r="D157" s="13"/>
      <c r="E157" s="13"/>
      <c r="F157" s="13"/>
      <c r="G157" s="13"/>
      <c r="H157" s="13"/>
      <c r="I157" s="13"/>
      <c r="J157" s="38">
        <f ca="1">SUM(J154:J156)</f>
        <v>433.62414933999986</v>
      </c>
    </row>
    <row r="159" spans="2:10" x14ac:dyDescent="0.2">
      <c r="B159" s="2" t="s">
        <v>94</v>
      </c>
      <c r="J159" s="21">
        <f>C32</f>
        <v>340</v>
      </c>
    </row>
    <row r="161" spans="1:10" x14ac:dyDescent="0.2">
      <c r="B161" s="2" t="s">
        <v>113</v>
      </c>
      <c r="C161" s="49">
        <v>46022</v>
      </c>
      <c r="D161" s="49">
        <v>46387</v>
      </c>
      <c r="E161" s="49">
        <v>46752</v>
      </c>
      <c r="F161" s="49">
        <v>47118</v>
      </c>
      <c r="G161" s="49">
        <v>47483</v>
      </c>
      <c r="H161" s="49">
        <v>47848</v>
      </c>
      <c r="I161" s="49">
        <v>48213</v>
      </c>
      <c r="J161" s="49">
        <v>48579</v>
      </c>
    </row>
    <row r="162" spans="1:10" x14ac:dyDescent="0.2">
      <c r="B162" s="2" t="s">
        <v>114</v>
      </c>
      <c r="C162" s="21">
        <f>-C32</f>
        <v>-340</v>
      </c>
      <c r="F162" s="18">
        <f ca="1">F147</f>
        <v>593.67783728826021</v>
      </c>
      <c r="J162" s="18">
        <f ca="1">J157</f>
        <v>433.62414933999986</v>
      </c>
    </row>
    <row r="164" spans="1:10" ht="15" thickBot="1" x14ac:dyDescent="0.25"/>
    <row r="165" spans="1:10" ht="15" x14ac:dyDescent="0.25">
      <c r="A165" s="55" t="s">
        <v>24</v>
      </c>
      <c r="B165" s="42" t="s">
        <v>95</v>
      </c>
      <c r="C165" s="43"/>
      <c r="D165" s="43"/>
      <c r="E165" s="43"/>
      <c r="F165" s="43"/>
      <c r="G165" s="43"/>
      <c r="H165" s="43"/>
      <c r="I165" s="43"/>
      <c r="J165" s="44">
        <f ca="1">SUM(F162,J162)/-C162</f>
        <v>3.0214764312595883</v>
      </c>
    </row>
    <row r="166" spans="1:10" ht="15.75" thickBot="1" x14ac:dyDescent="0.3">
      <c r="B166" s="45" t="s">
        <v>115</v>
      </c>
      <c r="C166" s="46"/>
      <c r="D166" s="46"/>
      <c r="E166" s="46"/>
      <c r="F166" s="46"/>
      <c r="G166" s="46"/>
      <c r="H166" s="46"/>
      <c r="I166" s="46"/>
      <c r="J166" s="47">
        <f ca="1">XIRR(C162:J162,C161:J161)</f>
        <v>0.29903137087821974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Prompt</vt:lpstr>
      <vt:lpstr>Answer</vt:lpstr>
      <vt:lpstr>Example Answer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schmitt</dc:creator>
  <cp:lastModifiedBy>Lauren Schmitt</cp:lastModifiedBy>
  <dcterms:created xsi:type="dcterms:W3CDTF">2025-03-09T17:55:52Z</dcterms:created>
  <dcterms:modified xsi:type="dcterms:W3CDTF">2025-04-29T13:13:18Z</dcterms:modified>
</cp:coreProperties>
</file>