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ns\OneDrive - Weston Nurseries\Desktop\Lauren\EJ\"/>
    </mc:Choice>
  </mc:AlternateContent>
  <xr:revisionPtr revIDLastSave="0" documentId="8_{2BB25CF1-58BD-46EC-9F03-E2E640EF67A8}" xr6:coauthVersionLast="47" xr6:coauthVersionMax="47" xr10:uidLastSave="{00000000-0000-0000-0000-000000000000}"/>
  <bookViews>
    <workbookView xWindow="3120" yWindow="1275" windowWidth="14835" windowHeight="14925" activeTab="2" xr2:uid="{9A655267-02D7-41AD-8FE8-84FBE7657DCA}"/>
  </bookViews>
  <sheets>
    <sheet name="Prompt" sheetId="1" r:id="rId1"/>
    <sheet name="Response" sheetId="2" r:id="rId2"/>
    <sheet name="Example Answer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D90" i="3"/>
  <c r="E90" i="3" s="1"/>
  <c r="F90" i="3" s="1"/>
  <c r="G90" i="3" s="1"/>
  <c r="H90" i="3" s="1"/>
  <c r="D84" i="3" l="1"/>
  <c r="D85" i="3" s="1"/>
  <c r="D28" i="1"/>
  <c r="E84" i="3" s="1"/>
  <c r="E85" i="3" s="1"/>
  <c r="K19" i="3"/>
  <c r="C58" i="3" s="1"/>
  <c r="K18" i="3"/>
  <c r="C62" i="3" s="1"/>
  <c r="K17" i="3"/>
  <c r="C47" i="3" s="1"/>
  <c r="K16" i="3"/>
  <c r="C11" i="3" s="1"/>
  <c r="C39" i="3"/>
  <c r="D82" i="3"/>
  <c r="E82" i="3" s="1"/>
  <c r="F82" i="3" s="1"/>
  <c r="G82" i="3" s="1"/>
  <c r="H82" i="3" s="1"/>
  <c r="D74" i="3"/>
  <c r="E74" i="3" s="1"/>
  <c r="F74" i="3" s="1"/>
  <c r="G74" i="3" s="1"/>
  <c r="H74" i="3" s="1"/>
  <c r="D65" i="3"/>
  <c r="E65" i="3" s="1"/>
  <c r="D38" i="3"/>
  <c r="E38" i="3" s="1"/>
  <c r="F38" i="3" s="1"/>
  <c r="G38" i="3" s="1"/>
  <c r="H38" i="3" s="1"/>
  <c r="B179" i="3"/>
  <c r="B180" i="3" s="1"/>
  <c r="B181" i="3" s="1"/>
  <c r="B182" i="3" s="1"/>
  <c r="B183" i="3" s="1"/>
  <c r="B184" i="3" s="1"/>
  <c r="B185" i="3" s="1"/>
  <c r="B186" i="3" s="1"/>
  <c r="D177" i="3"/>
  <c r="E177" i="3" s="1"/>
  <c r="F177" i="3" s="1"/>
  <c r="G177" i="3" s="1"/>
  <c r="H177" i="3" s="1"/>
  <c r="I177" i="3" s="1"/>
  <c r="J177" i="3" s="1"/>
  <c r="K177" i="3" s="1"/>
  <c r="B165" i="3"/>
  <c r="B166" i="3" s="1"/>
  <c r="B167" i="3" s="1"/>
  <c r="B168" i="3" s="1"/>
  <c r="B169" i="3" s="1"/>
  <c r="B170" i="3" s="1"/>
  <c r="B171" i="3" s="1"/>
  <c r="B172" i="3" s="1"/>
  <c r="D163" i="3"/>
  <c r="E163" i="3" s="1"/>
  <c r="B152" i="3"/>
  <c r="B153" i="3" s="1"/>
  <c r="B154" i="3" s="1"/>
  <c r="B155" i="3" s="1"/>
  <c r="B156" i="3" s="1"/>
  <c r="B157" i="3" s="1"/>
  <c r="D150" i="3"/>
  <c r="E150" i="3" s="1"/>
  <c r="F150" i="3" s="1"/>
  <c r="H131" i="3"/>
  <c r="D76" i="3"/>
  <c r="H54" i="3"/>
  <c r="G54" i="3"/>
  <c r="F54" i="3"/>
  <c r="E54" i="3"/>
  <c r="D54" i="3"/>
  <c r="F43" i="3"/>
  <c r="G43" i="3" s="1"/>
  <c r="E43" i="3"/>
  <c r="D43" i="3"/>
  <c r="H40" i="3"/>
  <c r="G40" i="3"/>
  <c r="F40" i="3"/>
  <c r="E40" i="3"/>
  <c r="D40" i="3"/>
  <c r="C31" i="3"/>
  <c r="I29" i="3"/>
  <c r="I27" i="3"/>
  <c r="E28" i="1" l="1"/>
  <c r="C44" i="3"/>
  <c r="F65" i="3"/>
  <c r="G65" i="3" s="1"/>
  <c r="C63" i="3"/>
  <c r="D63" i="3" s="1"/>
  <c r="E63" i="3" s="1"/>
  <c r="C59" i="3"/>
  <c r="D59" i="3" s="1"/>
  <c r="E59" i="3" s="1"/>
  <c r="F59" i="3" s="1"/>
  <c r="D149" i="3"/>
  <c r="C149" i="3"/>
  <c r="C41" i="3"/>
  <c r="C42" i="3" s="1"/>
  <c r="D42" i="3" s="1"/>
  <c r="E42" i="3" s="1"/>
  <c r="F42" i="3" s="1"/>
  <c r="G42" i="3" s="1"/>
  <c r="H42" i="3" s="1"/>
  <c r="C13" i="3"/>
  <c r="C162" i="3"/>
  <c r="F149" i="3"/>
  <c r="G150" i="3"/>
  <c r="F163" i="3"/>
  <c r="E162" i="3"/>
  <c r="E149" i="3"/>
  <c r="D88" i="3"/>
  <c r="D107" i="3" s="1"/>
  <c r="D39" i="3"/>
  <c r="H43" i="3"/>
  <c r="J43" i="3" s="1"/>
  <c r="C48" i="3"/>
  <c r="D48" i="3" s="1"/>
  <c r="E48" i="3" s="1"/>
  <c r="F48" i="3" s="1"/>
  <c r="G48" i="3" s="1"/>
  <c r="H48" i="3" s="1"/>
  <c r="D162" i="3"/>
  <c r="F84" i="3" l="1"/>
  <c r="F85" i="3" s="1"/>
  <c r="F28" i="1"/>
  <c r="C27" i="3"/>
  <c r="D94" i="3" s="1"/>
  <c r="H65" i="3"/>
  <c r="J27" i="3"/>
  <c r="C45" i="3"/>
  <c r="C49" i="3" s="1"/>
  <c r="C50" i="3" s="1"/>
  <c r="J29" i="3"/>
  <c r="C28" i="3"/>
  <c r="D28" i="3" s="1"/>
  <c r="D31" i="3"/>
  <c r="D44" i="3"/>
  <c r="D41" i="3"/>
  <c r="E39" i="3"/>
  <c r="E62" i="3" s="1"/>
  <c r="E67" i="3" s="1"/>
  <c r="D47" i="3"/>
  <c r="F162" i="3"/>
  <c r="G163" i="3"/>
  <c r="D62" i="3"/>
  <c r="D67" i="3" s="1"/>
  <c r="G59" i="3"/>
  <c r="D102" i="3"/>
  <c r="I31" i="3"/>
  <c r="D58" i="3"/>
  <c r="D91" i="3"/>
  <c r="F63" i="3"/>
  <c r="H150" i="3"/>
  <c r="G149" i="3"/>
  <c r="D112" i="3" l="1"/>
  <c r="D118" i="3" s="1"/>
  <c r="D95" i="3"/>
  <c r="C46" i="3"/>
  <c r="G28" i="1"/>
  <c r="H84" i="3" s="1"/>
  <c r="H85" i="3" s="1"/>
  <c r="G84" i="3"/>
  <c r="G85" i="3" s="1"/>
  <c r="D60" i="3"/>
  <c r="D70" i="3" s="1"/>
  <c r="C29" i="3"/>
  <c r="D29" i="3" s="1"/>
  <c r="D27" i="3"/>
  <c r="G63" i="3"/>
  <c r="G162" i="3"/>
  <c r="H163" i="3"/>
  <c r="D105" i="3"/>
  <c r="E41" i="3"/>
  <c r="F39" i="3"/>
  <c r="E44" i="3"/>
  <c r="E47" i="3"/>
  <c r="E58" i="3"/>
  <c r="J31" i="3"/>
  <c r="I34" i="3"/>
  <c r="H59" i="3"/>
  <c r="D45" i="3"/>
  <c r="I150" i="3"/>
  <c r="H149" i="3"/>
  <c r="D99" i="3" l="1"/>
  <c r="D103" i="3" s="1"/>
  <c r="D108" i="3" s="1"/>
  <c r="D109" i="3" s="1"/>
  <c r="E60" i="3"/>
  <c r="E70" i="3" s="1"/>
  <c r="F41" i="3"/>
  <c r="G39" i="3"/>
  <c r="G62" i="3" s="1"/>
  <c r="G67" i="3" s="1"/>
  <c r="F44" i="3"/>
  <c r="F47" i="3"/>
  <c r="F58" i="3"/>
  <c r="D46" i="3"/>
  <c r="D49" i="3"/>
  <c r="D66" i="3"/>
  <c r="E45" i="3"/>
  <c r="C34" i="3"/>
  <c r="K34" i="3"/>
  <c r="J34" i="3"/>
  <c r="K27" i="3"/>
  <c r="K29" i="3"/>
  <c r="K31" i="3"/>
  <c r="I163" i="3"/>
  <c r="H162" i="3"/>
  <c r="J150" i="3"/>
  <c r="I149" i="3"/>
  <c r="H63" i="3"/>
  <c r="F62" i="3"/>
  <c r="F67" i="3" s="1"/>
  <c r="D114" i="3" l="1"/>
  <c r="E88" i="3"/>
  <c r="E107" i="3"/>
  <c r="F60" i="3"/>
  <c r="F70" i="3" s="1"/>
  <c r="K150" i="3"/>
  <c r="K149" i="3" s="1"/>
  <c r="J149" i="3"/>
  <c r="E46" i="3"/>
  <c r="E49" i="3"/>
  <c r="E66" i="3"/>
  <c r="J163" i="3"/>
  <c r="I162" i="3"/>
  <c r="D34" i="3"/>
  <c r="E34" i="3"/>
  <c r="C32" i="3"/>
  <c r="E31" i="3"/>
  <c r="E27" i="3"/>
  <c r="E28" i="3"/>
  <c r="E29" i="3"/>
  <c r="G41" i="3"/>
  <c r="H39" i="3"/>
  <c r="J39" i="3" s="1"/>
  <c r="G47" i="3"/>
  <c r="G44" i="3"/>
  <c r="G58" i="3"/>
  <c r="D50" i="3"/>
  <c r="F45" i="3"/>
  <c r="G60" i="3" l="1"/>
  <c r="G70" i="3" s="1"/>
  <c r="H140" i="3"/>
  <c r="E32" i="3"/>
  <c r="D32" i="3"/>
  <c r="H41" i="3"/>
  <c r="J41" i="3" s="1"/>
  <c r="H47" i="3"/>
  <c r="J47" i="3" s="1"/>
  <c r="H44" i="3"/>
  <c r="H58" i="3"/>
  <c r="H60" i="3" s="1"/>
  <c r="H70" i="3" s="1"/>
  <c r="J162" i="3"/>
  <c r="K163" i="3"/>
  <c r="K162" i="3" s="1"/>
  <c r="F46" i="3"/>
  <c r="F49" i="3"/>
  <c r="F66" i="3"/>
  <c r="G45" i="3"/>
  <c r="E50" i="3"/>
  <c r="H62" i="3"/>
  <c r="H67" i="3" s="1"/>
  <c r="G46" i="3" l="1"/>
  <c r="G49" i="3"/>
  <c r="G66" i="3"/>
  <c r="H45" i="3"/>
  <c r="J45" i="3" s="1"/>
  <c r="F50" i="3"/>
  <c r="H49" i="3" l="1"/>
  <c r="J49" i="3" s="1"/>
  <c r="H46" i="3"/>
  <c r="H130" i="3"/>
  <c r="H132" i="3" s="1"/>
  <c r="H66" i="3"/>
  <c r="G50" i="3"/>
  <c r="H50" i="3" l="1"/>
  <c r="D96" i="3" l="1"/>
  <c r="D97" i="3" s="1"/>
  <c r="D113" i="3" l="1"/>
  <c r="D119" i="3" s="1"/>
  <c r="E94" i="3"/>
  <c r="D51" i="3" l="1"/>
  <c r="D68" i="3" s="1"/>
  <c r="D124" i="3"/>
  <c r="E91" i="3"/>
  <c r="D52" i="3" l="1"/>
  <c r="D75" i="3" s="1"/>
  <c r="E95" i="3"/>
  <c r="E99" i="3" s="1"/>
  <c r="D77" i="3" l="1"/>
  <c r="D78" i="3" s="1"/>
  <c r="E76" i="3" s="1"/>
  <c r="D79" i="3" l="1"/>
  <c r="D80" i="3" s="1"/>
  <c r="D53" i="3" s="1"/>
  <c r="D69" i="3" s="1"/>
  <c r="D71" i="3" s="1"/>
  <c r="D55" i="3" l="1"/>
  <c r="D56" i="3" s="1"/>
  <c r="D89" i="3"/>
  <c r="D104" i="3" l="1"/>
  <c r="D120" i="3"/>
  <c r="D121" i="3" s="1"/>
  <c r="D123" i="3" s="1"/>
  <c r="E102" i="3" l="1"/>
  <c r="E103" i="3" s="1"/>
  <c r="E108" i="3" s="1"/>
  <c r="E109" i="3" s="1"/>
  <c r="D115" i="3"/>
  <c r="F107" i="3" l="1"/>
  <c r="F88" i="3"/>
  <c r="E105" i="3"/>
  <c r="E112" i="3"/>
  <c r="E118" i="3" s="1"/>
  <c r="E96" i="3" l="1"/>
  <c r="E97" i="3" s="1"/>
  <c r="E113" i="3" s="1"/>
  <c r="E119" i="3" s="1"/>
  <c r="E51" i="3" l="1"/>
  <c r="E124" i="3"/>
  <c r="F94" i="3"/>
  <c r="E68" i="3" l="1"/>
  <c r="E52" i="3"/>
  <c r="F91" i="3"/>
  <c r="E75" i="3" l="1"/>
  <c r="F95" i="3"/>
  <c r="F99" i="3" l="1"/>
  <c r="E77" i="3"/>
  <c r="E78" i="3" s="1"/>
  <c r="F76" i="3" s="1"/>
  <c r="E79" i="3" l="1"/>
  <c r="E80" i="3" s="1"/>
  <c r="E53" i="3" s="1"/>
  <c r="E69" i="3" s="1"/>
  <c r="E71" i="3" s="1"/>
  <c r="E55" i="3" l="1"/>
  <c r="E56" i="3" s="1"/>
  <c r="E89" i="3"/>
  <c r="E104" i="3" l="1"/>
  <c r="E114" i="3"/>
  <c r="E120" i="3" s="1"/>
  <c r="E121" i="3" s="1"/>
  <c r="E123" i="3" s="1"/>
  <c r="F102" i="3" l="1"/>
  <c r="F103" i="3" s="1"/>
  <c r="F108" i="3" s="1"/>
  <c r="F109" i="3" s="1"/>
  <c r="E115" i="3"/>
  <c r="G107" i="3" l="1"/>
  <c r="G88" i="3"/>
  <c r="F105" i="3"/>
  <c r="F112" i="3"/>
  <c r="F118" i="3" s="1"/>
  <c r="F96" i="3" l="1"/>
  <c r="F97" i="3" s="1"/>
  <c r="F113" i="3" s="1"/>
  <c r="F119" i="3" s="1"/>
  <c r="F51" i="3" l="1"/>
  <c r="F124" i="3"/>
  <c r="G91" i="3"/>
  <c r="G94" i="3"/>
  <c r="F68" i="3" l="1"/>
  <c r="F52" i="3"/>
  <c r="G95" i="3"/>
  <c r="G99" i="3" l="1"/>
  <c r="F75" i="3"/>
  <c r="F77" i="3" l="1"/>
  <c r="F78" i="3" s="1"/>
  <c r="G76" i="3" s="1"/>
  <c r="F79" i="3" l="1"/>
  <c r="F80" i="3" s="1"/>
  <c r="F53" i="3" s="1"/>
  <c r="F69" i="3" s="1"/>
  <c r="F71" i="3" s="1"/>
  <c r="F55" i="3" l="1"/>
  <c r="F56" i="3" s="1"/>
  <c r="F89" i="3"/>
  <c r="F104" i="3" l="1"/>
  <c r="F114" i="3"/>
  <c r="F120" i="3" s="1"/>
  <c r="F121" i="3" s="1"/>
  <c r="F123" i="3" s="1"/>
  <c r="G102" i="3" l="1"/>
  <c r="G103" i="3" s="1"/>
  <c r="G108" i="3" s="1"/>
  <c r="G109" i="3" s="1"/>
  <c r="F115" i="3"/>
  <c r="H107" i="3" l="1"/>
  <c r="H88" i="3"/>
  <c r="G105" i="3"/>
  <c r="G112" i="3"/>
  <c r="G118" i="3" s="1"/>
  <c r="G96" i="3"/>
  <c r="G97" i="3" s="1"/>
  <c r="G113" i="3" s="1"/>
  <c r="G119" i="3" s="1"/>
  <c r="G124" i="3" l="1"/>
  <c r="G51" i="3"/>
  <c r="H94" i="3"/>
  <c r="G68" i="3" l="1"/>
  <c r="G52" i="3"/>
  <c r="H91" i="3"/>
  <c r="G75" i="3" l="1"/>
  <c r="H95" i="3"/>
  <c r="H99" i="3" l="1"/>
  <c r="G77" i="3"/>
  <c r="G78" i="3" s="1"/>
  <c r="H76" i="3" s="1"/>
  <c r="G79" i="3" l="1"/>
  <c r="G80" i="3" s="1"/>
  <c r="G53" i="3" s="1"/>
  <c r="G69" i="3" s="1"/>
  <c r="G71" i="3" s="1"/>
  <c r="G55" i="3" l="1"/>
  <c r="G56" i="3" s="1"/>
  <c r="G89" i="3"/>
  <c r="G104" i="3" l="1"/>
  <c r="G114" i="3"/>
  <c r="G120" i="3" s="1"/>
  <c r="G121" i="3" s="1"/>
  <c r="G123" i="3" s="1"/>
  <c r="H102" i="3" l="1"/>
  <c r="H103" i="3" s="1"/>
  <c r="H108" i="3" s="1"/>
  <c r="H109" i="3" s="1"/>
  <c r="G115" i="3"/>
  <c r="H105" i="3" l="1"/>
  <c r="H112" i="3"/>
  <c r="H118" i="3" s="1"/>
  <c r="H96" i="3"/>
  <c r="H97" i="3" s="1"/>
  <c r="H113" i="3" l="1"/>
  <c r="H119" i="3" s="1"/>
  <c r="H51" i="3" s="1"/>
  <c r="H124" i="3" l="1"/>
  <c r="H52" i="3"/>
  <c r="H68" i="3"/>
  <c r="H75" i="3" l="1"/>
  <c r="H77" i="3" l="1"/>
  <c r="H78" i="3" s="1"/>
  <c r="H79" i="3" l="1"/>
  <c r="H80" i="3" s="1"/>
  <c r="H53" i="3" s="1"/>
  <c r="H69" i="3" s="1"/>
  <c r="H71" i="3" s="1"/>
  <c r="H55" i="3" l="1"/>
  <c r="H56" i="3" s="1"/>
  <c r="H89" i="3"/>
  <c r="H104" i="3" l="1"/>
  <c r="H115" i="3" s="1"/>
  <c r="H114" i="3"/>
  <c r="H120" i="3" s="1"/>
  <c r="H121" i="3" s="1"/>
  <c r="H133" i="3" l="1"/>
  <c r="H134" i="3" s="1"/>
  <c r="H123" i="3"/>
  <c r="H135" i="3" l="1"/>
  <c r="H136" i="3" s="1"/>
  <c r="H137" i="3" l="1"/>
  <c r="H139" i="3" s="1"/>
  <c r="H142" i="3" s="1"/>
  <c r="H143" i="3" s="1"/>
  <c r="B163" i="3" s="1"/>
  <c r="B177" i="3" l="1"/>
  <c r="B150" i="3"/>
</calcChain>
</file>

<file path=xl/sharedStrings.xml><?xml version="1.0" encoding="utf-8"?>
<sst xmlns="http://schemas.openxmlformats.org/spreadsheetml/2006/main" count="181" uniqueCount="126">
  <si>
    <t>LTM Financials</t>
  </si>
  <si>
    <t>Revenue</t>
  </si>
  <si>
    <t>EBITDA</t>
  </si>
  <si>
    <t>D&amp;A</t>
  </si>
  <si>
    <t>Capex</t>
  </si>
  <si>
    <t>NWC</t>
  </si>
  <si>
    <t>Year 1</t>
  </si>
  <si>
    <t>Year 2</t>
  </si>
  <si>
    <t>Year 3</t>
  </si>
  <si>
    <t>Year 4</t>
  </si>
  <si>
    <t>Year 5</t>
  </si>
  <si>
    <t>LIBOR</t>
  </si>
  <si>
    <t>Based on our multiples analysis, we believe the exit multiple we could achieve would likely be around 7.0x EBITDA.</t>
  </si>
  <si>
    <t>Between financing, legal, and accounting, fees and expenses should be around $20M.</t>
  </si>
  <si>
    <t>Assumptions</t>
  </si>
  <si>
    <t xml:space="preserve"> </t>
  </si>
  <si>
    <t>Entry</t>
  </si>
  <si>
    <t>Capital Structure</t>
  </si>
  <si>
    <t>Exit</t>
  </si>
  <si>
    <t>LTM EBITDA</t>
  </si>
  <si>
    <t>Amount</t>
  </si>
  <si>
    <t>Cost</t>
  </si>
  <si>
    <t>Multiple</t>
  </si>
  <si>
    <t>Entry Multiple</t>
  </si>
  <si>
    <t>Bank Debt</t>
  </si>
  <si>
    <t>bps</t>
  </si>
  <si>
    <t>Mgmt Options</t>
  </si>
  <si>
    <t>Entry TEV</t>
  </si>
  <si>
    <t>Sr. Notes</t>
  </si>
  <si>
    <t>LIBOR Floor</t>
  </si>
  <si>
    <t>NOLs</t>
  </si>
  <si>
    <t>NOL Federal Rate</t>
  </si>
  <si>
    <t>Operating Assumptions</t>
  </si>
  <si>
    <t>Mgmt Equity Rollover</t>
  </si>
  <si>
    <t>Revenue Growth</t>
  </si>
  <si>
    <t>Fees &amp; Expenses</t>
  </si>
  <si>
    <t>Cost Savings</t>
  </si>
  <si>
    <t>Min Cash</t>
  </si>
  <si>
    <t>Tax Rate</t>
  </si>
  <si>
    <t>Sources</t>
  </si>
  <si>
    <t>Uses</t>
  </si>
  <si>
    <t>xEBITDA</t>
  </si>
  <si>
    <t>% Capital</t>
  </si>
  <si>
    <t>Debt</t>
  </si>
  <si>
    <t xml:space="preserve">   Bank Debt</t>
  </si>
  <si>
    <t>Minimum Cash</t>
  </si>
  <si>
    <t xml:space="preserve">   Sr. Notes</t>
  </si>
  <si>
    <t>Total Debt</t>
  </si>
  <si>
    <t>Fees and Expenses</t>
  </si>
  <si>
    <t>Management Equity</t>
  </si>
  <si>
    <t>Sponsor Equity</t>
  </si>
  <si>
    <t>Total Sources</t>
  </si>
  <si>
    <t>Total Uses</t>
  </si>
  <si>
    <t>Operating Model</t>
  </si>
  <si>
    <t>CAGR</t>
  </si>
  <si>
    <t xml:space="preserve">   % YoY growth</t>
  </si>
  <si>
    <t xml:space="preserve">   % sales</t>
  </si>
  <si>
    <t>Adj. EBITDA</t>
  </si>
  <si>
    <t>EBIT</t>
  </si>
  <si>
    <t>Interest</t>
  </si>
  <si>
    <t>EBT</t>
  </si>
  <si>
    <t>Taxes</t>
  </si>
  <si>
    <t xml:space="preserve">   % tax rate</t>
  </si>
  <si>
    <t>Net Income</t>
  </si>
  <si>
    <t>Net Working Capital</t>
  </si>
  <si>
    <t xml:space="preserve">   Change in NWC</t>
  </si>
  <si>
    <t>Levered Cash Flow</t>
  </si>
  <si>
    <t>Less: Capex</t>
  </si>
  <si>
    <t>Less: Interest</t>
  </si>
  <si>
    <t>Less: Taxes</t>
  </si>
  <si>
    <t>Less: Change in NWC</t>
  </si>
  <si>
    <t>Tax Schedule</t>
  </si>
  <si>
    <t>EBT (Pre-NOL)</t>
  </si>
  <si>
    <t>NOL (BOP)</t>
  </si>
  <si>
    <t>NOL Recognized</t>
  </si>
  <si>
    <t>NOL (EOP)</t>
  </si>
  <si>
    <t>EBT (Post-NOL)</t>
  </si>
  <si>
    <t>Debt Schedule</t>
  </si>
  <si>
    <t>Effective LIBOR</t>
  </si>
  <si>
    <t>Cash</t>
  </si>
  <si>
    <t xml:space="preserve">   BOP</t>
  </si>
  <si>
    <t xml:space="preserve">   Interest</t>
  </si>
  <si>
    <t xml:space="preserve">   EOP</t>
  </si>
  <si>
    <t xml:space="preserve">   Paydown</t>
  </si>
  <si>
    <t>Total Gross Debt</t>
  </si>
  <si>
    <t>Total Net Debt</t>
  </si>
  <si>
    <t>Memo: Net Leverage</t>
  </si>
  <si>
    <t>Memo: Interest Coverage</t>
  </si>
  <si>
    <t>LTM EBITDA at Exit</t>
  </si>
  <si>
    <t>Exit Multiple</t>
  </si>
  <si>
    <t>TEV</t>
  </si>
  <si>
    <t>Less: Net Debt</t>
  </si>
  <si>
    <t>Equity Value</t>
  </si>
  <si>
    <t>Plus: Cash from mgmt options</t>
  </si>
  <si>
    <t>Less: Equity to mgmt options</t>
  </si>
  <si>
    <t>Equity Value After Options</t>
  </si>
  <si>
    <t>Sponsor Equity at Exit</t>
  </si>
  <si>
    <t>Sponsor Equity at Entry</t>
  </si>
  <si>
    <t>MOIC</t>
  </si>
  <si>
    <t>IRR</t>
  </si>
  <si>
    <t>Price Paid vs. Exit Multiple</t>
  </si>
  <si>
    <t>Exit Multiple (xEBITDA)</t>
  </si>
  <si>
    <t>Price Paid vs. Revenue Growth</t>
  </si>
  <si>
    <t>Cost Savings vs. Revenue Growth</t>
  </si>
  <si>
    <t>Sources &amp; Uses</t>
  </si>
  <si>
    <t>SOFR</t>
  </si>
  <si>
    <t>Company A is selling their company.</t>
  </si>
  <si>
    <t>In the previous year, the company achieved the following operational figures:</t>
  </si>
  <si>
    <t>The management team will remain in their roles and is prepared to reinvest $20M in equity. Additionally, they are expected to receive a 5% management option pool as part of this agreement.</t>
  </si>
  <si>
    <t>They anticipate D&amp;A, Capex, and NWC to remain the same as a percentage of sales, and for the tax rate to remain at 25%. Minimum cash is $10M.</t>
  </si>
  <si>
    <t>Management has outlined an operational strategy targeting a 4% increase in sales growth. Margins are expected to stay consistent, aside from $30 million in costs that can be reduced over a three-year period.</t>
  </si>
  <si>
    <t xml:space="preserve">Recommended financing is 3.25x Bank Debt priced at SOFR+150 bps with a 4% SOFR floor and 1.75x Senior Notes with a 16% coupon. </t>
  </si>
  <si>
    <t>The current SOFR forward curve is below:</t>
  </si>
  <si>
    <t>The Company has $20M in NOLs which will be valid for the next 10 years. The IRS allowed annual rate of recognition is 3% of the purchase price.</t>
  </si>
  <si>
    <t>Beginning Cash</t>
  </si>
  <si>
    <t>Plus: Levered Free Cash Flow</t>
  </si>
  <si>
    <t>Less: Min Cash</t>
  </si>
  <si>
    <t>Discretionary Cash for Debt Paydown</t>
  </si>
  <si>
    <t>Cash Available after Bank Debt Paydown</t>
  </si>
  <si>
    <t>Change in Cash</t>
  </si>
  <si>
    <t>Ending Cash</t>
  </si>
  <si>
    <t>Company A's bankers have signaled that they are expecting bids in the 6-9x EBITDA range</t>
  </si>
  <si>
    <t>Prompt</t>
  </si>
  <si>
    <t>Basic LBO - NOLs</t>
  </si>
  <si>
    <t>x</t>
  </si>
  <si>
    <t>Returns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</si>
</sst>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164" formatCode="#,##0.0%_);\(#,##0.0%\)"/>
    <numFmt numFmtId="165" formatCode="#,##0_);\(#,##0\);\-_)"/>
    <numFmt numFmtId="166" formatCode="#,##0.0\x;&quot;NM&quot;_x"/>
    <numFmt numFmtId="167" formatCode="#,##0.00\x;&quot;NM&quot;_x"/>
    <numFmt numFmtId="168" formatCode="#,##0.0_);\(#,##0.0\);\-_)"/>
    <numFmt numFmtId="169" formatCode="#,##0%_);\(#,##0%\)"/>
    <numFmt numFmtId="170" formatCode="&quot;Year&quot;\ 0"/>
    <numFmt numFmtId="171" formatCode="#,##0.00%_);\(#,##0.00%\)"/>
    <numFmt numFmtId="172" formatCode="&quot;SOFR+&quot;\ 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u/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19EFC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ABBF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rgb="FF2ABBFC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5" fontId="1" fillId="0" borderId="0" xfId="0" applyNumberFormat="1" applyFont="1"/>
    <xf numFmtId="165" fontId="5" fillId="0" borderId="0" xfId="0" applyNumberFormat="1" applyFont="1"/>
    <xf numFmtId="166" fontId="6" fillId="2" borderId="0" xfId="0" applyNumberFormat="1" applyFont="1" applyFill="1"/>
    <xf numFmtId="0" fontId="1" fillId="0" borderId="1" xfId="0" applyFont="1" applyBorder="1"/>
    <xf numFmtId="166" fontId="6" fillId="2" borderId="1" xfId="0" applyNumberFormat="1" applyFont="1" applyFill="1" applyBorder="1"/>
    <xf numFmtId="167" fontId="6" fillId="2" borderId="0" xfId="0" applyNumberFormat="1" applyFont="1" applyFill="1"/>
    <xf numFmtId="172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5" fillId="0" borderId="0" xfId="0" applyFont="1"/>
    <xf numFmtId="165" fontId="6" fillId="2" borderId="0" xfId="0" applyNumberFormat="1" applyFont="1" applyFill="1"/>
    <xf numFmtId="5" fontId="5" fillId="0" borderId="0" xfId="0" applyNumberFormat="1" applyFont="1"/>
    <xf numFmtId="168" fontId="6" fillId="2" borderId="0" xfId="0" applyNumberFormat="1" applyFont="1" applyFill="1"/>
    <xf numFmtId="0" fontId="8" fillId="0" borderId="0" xfId="0" applyFont="1"/>
    <xf numFmtId="0" fontId="2" fillId="0" borderId="1" xfId="0" applyFont="1" applyBorder="1"/>
    <xf numFmtId="164" fontId="1" fillId="0" borderId="0" xfId="0" applyNumberFormat="1" applyFont="1"/>
    <xf numFmtId="166" fontId="1" fillId="0" borderId="0" xfId="0" applyNumberFormat="1" applyFont="1"/>
    <xf numFmtId="165" fontId="5" fillId="0" borderId="1" xfId="0" applyNumberFormat="1" applyFont="1" applyBorder="1"/>
    <xf numFmtId="166" fontId="1" fillId="0" borderId="1" xfId="0" applyNumberFormat="1" applyFont="1" applyBorder="1"/>
    <xf numFmtId="164" fontId="1" fillId="0" borderId="1" xfId="0" applyNumberFormat="1" applyFont="1" applyBorder="1"/>
    <xf numFmtId="0" fontId="1" fillId="0" borderId="3" xfId="0" applyFont="1" applyBorder="1"/>
    <xf numFmtId="165" fontId="5" fillId="0" borderId="3" xfId="0" applyNumberFormat="1" applyFont="1" applyBorder="1"/>
    <xf numFmtId="166" fontId="1" fillId="0" borderId="3" xfId="0" applyNumberFormat="1" applyFont="1" applyBorder="1"/>
    <xf numFmtId="164" fontId="1" fillId="0" borderId="3" xfId="0" applyNumberFormat="1" applyFont="1" applyBorder="1"/>
    <xf numFmtId="0" fontId="1" fillId="3" borderId="1" xfId="0" applyFont="1" applyFill="1" applyBorder="1"/>
    <xf numFmtId="170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1" fillId="0" borderId="0" xfId="0" applyNumberFormat="1" applyFont="1"/>
    <xf numFmtId="0" fontId="9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164" fontId="1" fillId="0" borderId="0" xfId="0" applyNumberFormat="1" applyFont="1" applyAlignment="1">
      <alignment horizontal="right"/>
    </xf>
    <xf numFmtId="169" fontId="9" fillId="0" borderId="0" xfId="0" applyNumberFormat="1" applyFont="1"/>
    <xf numFmtId="165" fontId="1" fillId="0" borderId="1" xfId="0" applyNumberFormat="1" applyFont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166" fontId="2" fillId="0" borderId="4" xfId="0" applyNumberFormat="1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164" fontId="11" fillId="0" borderId="0" xfId="0" applyNumberFormat="1" applyFont="1"/>
    <xf numFmtId="166" fontId="1" fillId="0" borderId="7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 applyAlignment="1">
      <alignment horizontal="center"/>
    </xf>
    <xf numFmtId="5" fontId="1" fillId="0" borderId="1" xfId="0" applyNumberFormat="1" applyFont="1" applyBorder="1"/>
    <xf numFmtId="0" fontId="1" fillId="0" borderId="0" xfId="0" applyFont="1" applyAlignment="1">
      <alignment vertical="center"/>
    </xf>
    <xf numFmtId="5" fontId="6" fillId="0" borderId="0" xfId="0" applyNumberFormat="1" applyFont="1"/>
    <xf numFmtId="0" fontId="5" fillId="0" borderId="0" xfId="0" applyFont="1" applyAlignment="1">
      <alignment vertical="center"/>
    </xf>
    <xf numFmtId="171" fontId="6" fillId="0" borderId="0" xfId="0" applyNumberFormat="1" applyFont="1"/>
    <xf numFmtId="0" fontId="2" fillId="0" borderId="8" xfId="0" applyFont="1" applyBorder="1"/>
    <xf numFmtId="0" fontId="1" fillId="0" borderId="8" xfId="0" applyFont="1" applyBorder="1"/>
    <xf numFmtId="0" fontId="3" fillId="4" borderId="0" xfId="0" applyFont="1" applyFill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203480</xdr:colOff>
      <xdr:row>0</xdr:row>
      <xdr:rowOff>30827</xdr:rowOff>
    </xdr:from>
    <xdr:to>
      <xdr:col>15</xdr:col>
      <xdr:colOff>180043</xdr:colOff>
      <xdr:row>5</xdr:row>
      <xdr:rowOff>25363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0E882-6269-45D0-881B-260D8D8CB6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6299480" y="30827"/>
          <a:ext cx="3024563" cy="883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743230</xdr:colOff>
      <xdr:row>0</xdr:row>
      <xdr:rowOff>0</xdr:rowOff>
    </xdr:from>
    <xdr:to>
      <xdr:col>11</xdr:col>
      <xdr:colOff>389593</xdr:colOff>
      <xdr:row>5</xdr:row>
      <xdr:rowOff>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C11BEA-4C84-438B-A10B-0DA7724E80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6655080" y="0"/>
          <a:ext cx="3024563" cy="908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802F-384F-4E27-87DA-442D3109D714}">
  <dimension ref="A1:O32"/>
  <sheetViews>
    <sheetView showGridLines="0" zoomScale="111" workbookViewId="0">
      <selection sqref="A1:XFD8"/>
    </sheetView>
  </sheetViews>
  <sheetFormatPr defaultColWidth="8.7109375" defaultRowHeight="14.25" x14ac:dyDescent="0.2"/>
  <cols>
    <col min="1" max="16384" width="8.7109375" style="1"/>
  </cols>
  <sheetData>
    <row r="1" spans="1:15" x14ac:dyDescent="0.2">
      <c r="A1" s="1" t="s">
        <v>15</v>
      </c>
    </row>
    <row r="3" spans="1:15" ht="15" x14ac:dyDescent="0.25">
      <c r="B3" s="2" t="s">
        <v>123</v>
      </c>
    </row>
    <row r="4" spans="1:15" ht="15" x14ac:dyDescent="0.25">
      <c r="L4"/>
    </row>
    <row r="5" spans="1:15" ht="15.75" thickBot="1" x14ac:dyDescent="0.3"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5" thickTop="1" x14ac:dyDescent="0.2"/>
    <row r="8" spans="1:15" ht="15" x14ac:dyDescent="0.25">
      <c r="B8" s="23" t="s">
        <v>122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">
      <c r="A9" s="1" t="s">
        <v>15</v>
      </c>
    </row>
    <row r="10" spans="1:15" x14ac:dyDescent="0.2">
      <c r="B10" s="58" t="s">
        <v>106</v>
      </c>
    </row>
    <row r="11" spans="1:15" x14ac:dyDescent="0.2">
      <c r="B11" s="1" t="s">
        <v>107</v>
      </c>
    </row>
    <row r="13" spans="1:15" ht="15" x14ac:dyDescent="0.25">
      <c r="B13" s="2" t="s">
        <v>0</v>
      </c>
    </row>
    <row r="14" spans="1:15" x14ac:dyDescent="0.2">
      <c r="B14" s="1" t="s">
        <v>1</v>
      </c>
      <c r="D14" s="59">
        <v>300</v>
      </c>
    </row>
    <row r="15" spans="1:15" x14ac:dyDescent="0.2">
      <c r="B15" s="1" t="s">
        <v>2</v>
      </c>
      <c r="D15" s="59">
        <v>160</v>
      </c>
    </row>
    <row r="16" spans="1:15" x14ac:dyDescent="0.2">
      <c r="B16" s="1" t="s">
        <v>3</v>
      </c>
      <c r="D16" s="59">
        <v>40</v>
      </c>
    </row>
    <row r="17" spans="2:7" x14ac:dyDescent="0.2">
      <c r="B17" s="1" t="s">
        <v>4</v>
      </c>
      <c r="D17" s="59">
        <v>40</v>
      </c>
    </row>
    <row r="18" spans="2:7" x14ac:dyDescent="0.2">
      <c r="B18" s="1" t="s">
        <v>5</v>
      </c>
      <c r="D18" s="59">
        <v>20</v>
      </c>
    </row>
    <row r="20" spans="2:7" x14ac:dyDescent="0.2">
      <c r="B20" s="60" t="s">
        <v>121</v>
      </c>
    </row>
    <row r="21" spans="2:7" x14ac:dyDescent="0.2">
      <c r="B21" s="1" t="s">
        <v>108</v>
      </c>
    </row>
    <row r="22" spans="2:7" x14ac:dyDescent="0.2">
      <c r="B22" s="58" t="s">
        <v>110</v>
      </c>
    </row>
    <row r="23" spans="2:7" x14ac:dyDescent="0.2">
      <c r="B23" s="58" t="s">
        <v>109</v>
      </c>
    </row>
    <row r="24" spans="2:7" x14ac:dyDescent="0.2">
      <c r="B24" s="58" t="s">
        <v>111</v>
      </c>
    </row>
    <row r="25" spans="2:7" x14ac:dyDescent="0.2">
      <c r="B25" s="58"/>
    </row>
    <row r="26" spans="2:7" x14ac:dyDescent="0.2">
      <c r="B26" s="58" t="s">
        <v>112</v>
      </c>
    </row>
    <row r="27" spans="2:7" x14ac:dyDescent="0.2">
      <c r="B27" s="58"/>
      <c r="C27" s="4" t="s">
        <v>6</v>
      </c>
      <c r="D27" s="4" t="s">
        <v>7</v>
      </c>
      <c r="E27" s="4" t="s">
        <v>8</v>
      </c>
      <c r="F27" s="4" t="s">
        <v>9</v>
      </c>
      <c r="G27" s="4" t="s">
        <v>10</v>
      </c>
    </row>
    <row r="28" spans="2:7" x14ac:dyDescent="0.2">
      <c r="B28" s="58" t="s">
        <v>105</v>
      </c>
      <c r="C28" s="61">
        <v>3.5000000000000003E-2</v>
      </c>
      <c r="D28" s="61">
        <f>C28-0.25%</f>
        <v>3.2500000000000001E-2</v>
      </c>
      <c r="E28" s="61">
        <f t="shared" ref="E28:G28" si="0">D28-0.25%</f>
        <v>3.0000000000000002E-2</v>
      </c>
      <c r="F28" s="61">
        <f t="shared" si="0"/>
        <v>2.7500000000000004E-2</v>
      </c>
      <c r="G28" s="61">
        <f t="shared" si="0"/>
        <v>2.5000000000000005E-2</v>
      </c>
    </row>
    <row r="29" spans="2:7" x14ac:dyDescent="0.2">
      <c r="B29" s="58"/>
    </row>
    <row r="30" spans="2:7" x14ac:dyDescent="0.2">
      <c r="B30" s="58" t="s">
        <v>12</v>
      </c>
    </row>
    <row r="31" spans="2:7" x14ac:dyDescent="0.2">
      <c r="B31" s="60" t="s">
        <v>113</v>
      </c>
    </row>
    <row r="32" spans="2:7" x14ac:dyDescent="0.2">
      <c r="B32" s="58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9D72-B146-4E2A-A8E8-03B13BCDEF96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67FA-AFA3-46A3-BAC9-1A996F64B76B}">
  <dimension ref="A1:O187"/>
  <sheetViews>
    <sheetView showGridLines="0" tabSelected="1" workbookViewId="0">
      <selection activeCell="D152" sqref="D152"/>
    </sheetView>
  </sheetViews>
  <sheetFormatPr defaultColWidth="12.140625" defaultRowHeight="14.25" x14ac:dyDescent="0.2"/>
  <cols>
    <col min="1" max="1" width="3.5703125" style="1" customWidth="1"/>
    <col min="2" max="16384" width="12.140625" style="1"/>
  </cols>
  <sheetData>
    <row r="1" spans="1:15" x14ac:dyDescent="0.2">
      <c r="A1" s="1" t="s">
        <v>15</v>
      </c>
    </row>
    <row r="3" spans="1:15" ht="15" x14ac:dyDescent="0.25">
      <c r="B3" s="2" t="s">
        <v>123</v>
      </c>
    </row>
    <row r="4" spans="1:15" ht="15" x14ac:dyDescent="0.25">
      <c r="H4"/>
    </row>
    <row r="5" spans="1:15" ht="15.75" thickBot="1" x14ac:dyDescent="0.3">
      <c r="B5" s="62"/>
      <c r="C5" s="63"/>
      <c r="D5" s="63"/>
      <c r="E5" s="63"/>
      <c r="F5" s="63"/>
      <c r="G5" s="63"/>
      <c r="H5" s="63"/>
      <c r="I5" s="63"/>
      <c r="J5" s="63"/>
      <c r="K5" s="63"/>
    </row>
    <row r="6" spans="1:15" ht="15.75" thickTop="1" x14ac:dyDescent="0.25">
      <c r="A6" s="2"/>
    </row>
    <row r="8" spans="1:15" ht="15" x14ac:dyDescent="0.25">
      <c r="A8" s="65" t="s">
        <v>124</v>
      </c>
      <c r="B8" s="64" t="s">
        <v>14</v>
      </c>
      <c r="C8" s="64"/>
      <c r="D8" s="64"/>
      <c r="E8" s="64"/>
      <c r="F8" s="64"/>
      <c r="G8" s="64"/>
      <c r="H8" s="64"/>
      <c r="I8" s="64"/>
      <c r="J8" s="64"/>
      <c r="K8" s="64"/>
    </row>
    <row r="9" spans="1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O9" s="4"/>
    </row>
    <row r="10" spans="1:15" x14ac:dyDescent="0.2">
      <c r="B10" s="5" t="s">
        <v>16</v>
      </c>
      <c r="E10" s="5" t="s">
        <v>17</v>
      </c>
      <c r="I10" s="5" t="s">
        <v>18</v>
      </c>
      <c r="O10" s="6"/>
    </row>
    <row r="11" spans="1:15" x14ac:dyDescent="0.2">
      <c r="B11" s="1" t="s">
        <v>19</v>
      </c>
      <c r="C11" s="7">
        <f>K16</f>
        <v>160</v>
      </c>
      <c r="F11" s="4" t="s">
        <v>20</v>
      </c>
      <c r="G11" s="4" t="s">
        <v>21</v>
      </c>
      <c r="I11" s="1" t="s">
        <v>22</v>
      </c>
      <c r="K11" s="8">
        <v>7</v>
      </c>
      <c r="O11" s="6"/>
    </row>
    <row r="12" spans="1:15" x14ac:dyDescent="0.2">
      <c r="B12" s="9" t="s">
        <v>23</v>
      </c>
      <c r="C12" s="10">
        <v>7.5</v>
      </c>
      <c r="E12" s="1" t="s">
        <v>24</v>
      </c>
      <c r="F12" s="11">
        <v>3.25</v>
      </c>
      <c r="G12" s="12">
        <v>150</v>
      </c>
      <c r="H12" s="1" t="s">
        <v>25</v>
      </c>
      <c r="I12" s="1" t="s">
        <v>26</v>
      </c>
      <c r="K12" s="13">
        <v>0.05</v>
      </c>
      <c r="O12" s="6"/>
    </row>
    <row r="13" spans="1:15" x14ac:dyDescent="0.2">
      <c r="B13" s="1" t="s">
        <v>27</v>
      </c>
      <c r="C13" s="7">
        <f>C11*C12</f>
        <v>1200</v>
      </c>
      <c r="E13" s="1" t="s">
        <v>28</v>
      </c>
      <c r="F13" s="11">
        <v>1.75</v>
      </c>
      <c r="G13" s="14">
        <v>0.16</v>
      </c>
      <c r="O13" s="6"/>
    </row>
    <row r="14" spans="1:15" x14ac:dyDescent="0.2">
      <c r="B14" s="15"/>
      <c r="C14" s="16"/>
      <c r="E14" s="1" t="s">
        <v>29</v>
      </c>
      <c r="F14" s="17"/>
      <c r="G14" s="14">
        <v>0.05</v>
      </c>
      <c r="I14" s="5" t="s">
        <v>0</v>
      </c>
      <c r="O14" s="6"/>
    </row>
    <row r="15" spans="1:15" x14ac:dyDescent="0.2">
      <c r="B15" s="18" t="s">
        <v>30</v>
      </c>
      <c r="C15" s="19">
        <v>20</v>
      </c>
      <c r="I15" s="1" t="s">
        <v>1</v>
      </c>
      <c r="K15" s="20">
        <f>Prompt!D14</f>
        <v>300</v>
      </c>
    </row>
    <row r="16" spans="1:15" x14ac:dyDescent="0.2">
      <c r="B16" s="18" t="s">
        <v>31</v>
      </c>
      <c r="C16" s="14">
        <v>0.03</v>
      </c>
      <c r="E16" s="5" t="s">
        <v>32</v>
      </c>
      <c r="I16" s="1" t="s">
        <v>2</v>
      </c>
      <c r="K16" s="20">
        <f>Prompt!D15</f>
        <v>160</v>
      </c>
    </row>
    <row r="17" spans="1:13" x14ac:dyDescent="0.2">
      <c r="B17" s="1" t="s">
        <v>33</v>
      </c>
      <c r="C17" s="19">
        <v>20</v>
      </c>
      <c r="E17" s="1" t="s">
        <v>34</v>
      </c>
      <c r="G17" s="14">
        <v>0.04</v>
      </c>
      <c r="I17" s="1" t="s">
        <v>3</v>
      </c>
      <c r="K17" s="20">
        <f>Prompt!D16</f>
        <v>40</v>
      </c>
    </row>
    <row r="18" spans="1:13" x14ac:dyDescent="0.2">
      <c r="B18" s="1" t="s">
        <v>35</v>
      </c>
      <c r="C18" s="19">
        <v>20</v>
      </c>
      <c r="E18" s="1" t="s">
        <v>36</v>
      </c>
      <c r="G18" s="21">
        <v>30</v>
      </c>
      <c r="I18" s="1" t="s">
        <v>4</v>
      </c>
      <c r="K18" s="20">
        <f>Prompt!D17</f>
        <v>40</v>
      </c>
    </row>
    <row r="19" spans="1:13" x14ac:dyDescent="0.2">
      <c r="B19" s="1" t="s">
        <v>37</v>
      </c>
      <c r="C19" s="19">
        <v>10</v>
      </c>
      <c r="E19" s="1" t="s">
        <v>38</v>
      </c>
      <c r="G19" s="14">
        <v>0.25</v>
      </c>
      <c r="I19" s="1" t="s">
        <v>5</v>
      </c>
      <c r="K19" s="20">
        <f>Prompt!D18</f>
        <v>20</v>
      </c>
    </row>
    <row r="21" spans="1:13" ht="15" x14ac:dyDescent="0.25">
      <c r="M21" s="22"/>
    </row>
    <row r="22" spans="1:13" ht="15" x14ac:dyDescent="0.25">
      <c r="A22" s="65" t="s">
        <v>124</v>
      </c>
      <c r="B22" s="64" t="s">
        <v>104</v>
      </c>
      <c r="C22" s="64"/>
      <c r="D22" s="64"/>
      <c r="E22" s="64"/>
      <c r="F22" s="64"/>
      <c r="G22" s="64"/>
      <c r="H22" s="64"/>
      <c r="I22" s="64"/>
      <c r="J22" s="64"/>
      <c r="K22" s="64"/>
      <c r="L22" s="1" t="s">
        <v>15</v>
      </c>
    </row>
    <row r="24" spans="1:13" ht="15" x14ac:dyDescent="0.25">
      <c r="B24" s="23" t="s">
        <v>39</v>
      </c>
      <c r="C24" s="9"/>
      <c r="D24" s="9"/>
      <c r="E24" s="9"/>
      <c r="G24" s="23" t="s">
        <v>40</v>
      </c>
      <c r="H24" s="9"/>
      <c r="I24" s="9"/>
      <c r="J24" s="9"/>
      <c r="K24" s="9"/>
    </row>
    <row r="25" spans="1:13" x14ac:dyDescent="0.2">
      <c r="C25" s="1" t="s">
        <v>20</v>
      </c>
      <c r="D25" s="1" t="s">
        <v>41</v>
      </c>
      <c r="E25" s="1" t="s">
        <v>42</v>
      </c>
      <c r="I25" s="1" t="s">
        <v>20</v>
      </c>
      <c r="J25" s="1" t="s">
        <v>41</v>
      </c>
      <c r="K25" s="1" t="s">
        <v>42</v>
      </c>
    </row>
    <row r="26" spans="1:13" x14ac:dyDescent="0.2">
      <c r="B26" s="1" t="s">
        <v>43</v>
      </c>
      <c r="E26" s="24"/>
    </row>
    <row r="27" spans="1:13" x14ac:dyDescent="0.2">
      <c r="B27" s="1" t="s">
        <v>44</v>
      </c>
      <c r="C27" s="7">
        <f>F12*$C$41</f>
        <v>520</v>
      </c>
      <c r="D27" s="25">
        <f>C27/$C$41</f>
        <v>3.25</v>
      </c>
      <c r="E27" s="24">
        <f>C27/C$34</f>
        <v>0.42276422764227645</v>
      </c>
      <c r="G27" s="1" t="s">
        <v>45</v>
      </c>
      <c r="I27" s="7">
        <f>C19</f>
        <v>10</v>
      </c>
      <c r="J27" s="25">
        <f>I27/$C$41</f>
        <v>6.25E-2</v>
      </c>
      <c r="K27" s="24">
        <f>I27/I$34</f>
        <v>8.130081300813009E-3</v>
      </c>
    </row>
    <row r="28" spans="1:13" x14ac:dyDescent="0.2">
      <c r="B28" s="9" t="s">
        <v>46</v>
      </c>
      <c r="C28" s="26">
        <f>F13*$C$41</f>
        <v>280</v>
      </c>
      <c r="D28" s="27">
        <f>C28/$C$41</f>
        <v>1.75</v>
      </c>
      <c r="E28" s="28">
        <f>C28/C$34</f>
        <v>0.22764227642276422</v>
      </c>
    </row>
    <row r="29" spans="1:13" x14ac:dyDescent="0.2">
      <c r="B29" s="1" t="s">
        <v>47</v>
      </c>
      <c r="C29" s="7">
        <f>SUM(C27:C28)</f>
        <v>800</v>
      </c>
      <c r="D29" s="25">
        <f>C29/$C$41</f>
        <v>5</v>
      </c>
      <c r="E29" s="24">
        <f>C29/C$34</f>
        <v>0.65040650406504064</v>
      </c>
      <c r="G29" s="1" t="s">
        <v>48</v>
      </c>
      <c r="I29" s="7">
        <f>C18</f>
        <v>20</v>
      </c>
      <c r="J29" s="25">
        <f>I29/$C$41</f>
        <v>0.125</v>
      </c>
      <c r="K29" s="24">
        <f>I29/I$34</f>
        <v>1.6260162601626018E-2</v>
      </c>
    </row>
    <row r="30" spans="1:13" x14ac:dyDescent="0.2">
      <c r="C30" s="18"/>
    </row>
    <row r="31" spans="1:13" x14ac:dyDescent="0.2">
      <c r="B31" s="1" t="s">
        <v>49</v>
      </c>
      <c r="C31" s="7">
        <f>C17</f>
        <v>20</v>
      </c>
      <c r="D31" s="25">
        <f>C31/$C$41</f>
        <v>0.125</v>
      </c>
      <c r="E31" s="24">
        <f>C31/C$34</f>
        <v>1.6260162601626018E-2</v>
      </c>
      <c r="G31" s="1" t="s">
        <v>27</v>
      </c>
      <c r="I31" s="7">
        <f>C13</f>
        <v>1200</v>
      </c>
      <c r="J31" s="25">
        <f>I31/$C$41</f>
        <v>7.5</v>
      </c>
      <c r="K31" s="24">
        <f>I31/I$34</f>
        <v>0.97560975609756095</v>
      </c>
    </row>
    <row r="32" spans="1:13" x14ac:dyDescent="0.2">
      <c r="B32" s="1" t="s">
        <v>50</v>
      </c>
      <c r="C32" s="7">
        <f>C34-C29-C31</f>
        <v>410</v>
      </c>
      <c r="D32" s="25">
        <f>C32/$C$41</f>
        <v>2.5625</v>
      </c>
      <c r="E32" s="24">
        <f>C32/C$34</f>
        <v>0.33333333333333331</v>
      </c>
    </row>
    <row r="33" spans="1:12" x14ac:dyDescent="0.2">
      <c r="C33" s="18"/>
      <c r="I33" s="18"/>
    </row>
    <row r="34" spans="1:12" x14ac:dyDescent="0.2">
      <c r="B34" s="29" t="s">
        <v>51</v>
      </c>
      <c r="C34" s="30">
        <f>I34</f>
        <v>1230</v>
      </c>
      <c r="D34" s="31">
        <f>C34/$C$41</f>
        <v>7.6875</v>
      </c>
      <c r="E34" s="32">
        <f>C34/C$34</f>
        <v>1</v>
      </c>
      <c r="G34" s="29" t="s">
        <v>52</v>
      </c>
      <c r="H34" s="29"/>
      <c r="I34" s="30">
        <f>SUM(I27:I31)</f>
        <v>1230</v>
      </c>
      <c r="J34" s="31">
        <f>I34/$C$41</f>
        <v>7.6875</v>
      </c>
      <c r="K34" s="32">
        <f>I34/I$34</f>
        <v>1</v>
      </c>
    </row>
    <row r="36" spans="1:12" ht="15" x14ac:dyDescent="0.25">
      <c r="A36" s="65" t="s">
        <v>124</v>
      </c>
      <c r="B36" s="64" t="s">
        <v>53</v>
      </c>
      <c r="C36" s="64"/>
      <c r="D36" s="64"/>
      <c r="E36" s="64"/>
      <c r="F36" s="64"/>
      <c r="G36" s="64"/>
      <c r="H36" s="64"/>
      <c r="I36" s="64"/>
      <c r="J36" s="64"/>
      <c r="K36" s="64"/>
      <c r="L36" s="1" t="s">
        <v>15</v>
      </c>
    </row>
    <row r="38" spans="1:12" ht="15" x14ac:dyDescent="0.25">
      <c r="B38" s="33"/>
      <c r="C38" s="34">
        <v>0</v>
      </c>
      <c r="D38" s="34">
        <f>C38+1</f>
        <v>1</v>
      </c>
      <c r="E38" s="34">
        <f t="shared" ref="E38:H38" si="0">D38+1</f>
        <v>2</v>
      </c>
      <c r="F38" s="34">
        <f t="shared" si="0"/>
        <v>3</v>
      </c>
      <c r="G38" s="34">
        <f t="shared" si="0"/>
        <v>4</v>
      </c>
      <c r="H38" s="34">
        <f t="shared" si="0"/>
        <v>5</v>
      </c>
      <c r="J38" s="35" t="s">
        <v>54</v>
      </c>
    </row>
    <row r="39" spans="1:12" x14ac:dyDescent="0.2">
      <c r="B39" s="1" t="s">
        <v>1</v>
      </c>
      <c r="C39" s="7">
        <f>K15</f>
        <v>300</v>
      </c>
      <c r="D39" s="36">
        <f>C39*(1+D40)</f>
        <v>312</v>
      </c>
      <c r="E39" s="36">
        <f>D39*(1+E40)</f>
        <v>324.48</v>
      </c>
      <c r="F39" s="36">
        <f>E39*(1+F40)</f>
        <v>337.45920000000001</v>
      </c>
      <c r="G39" s="36">
        <f>F39*(1+G40)</f>
        <v>350.95756800000004</v>
      </c>
      <c r="H39" s="36">
        <f>G39*(1+H40)</f>
        <v>364.99587072000003</v>
      </c>
      <c r="J39" s="24">
        <f>IFERROR(RATE(5,,-C39,H39),"NM")</f>
        <v>4.0000000000177748E-2</v>
      </c>
    </row>
    <row r="40" spans="1:12" x14ac:dyDescent="0.2">
      <c r="B40" s="37" t="s">
        <v>55</v>
      </c>
      <c r="D40" s="38">
        <f>$G$17</f>
        <v>0.04</v>
      </c>
      <c r="E40" s="38">
        <f>$G$17</f>
        <v>0.04</v>
      </c>
      <c r="F40" s="38">
        <f>$G$17</f>
        <v>0.04</v>
      </c>
      <c r="G40" s="38">
        <f>$G$17</f>
        <v>0.04</v>
      </c>
      <c r="H40" s="38">
        <f>$G$17</f>
        <v>0.04</v>
      </c>
    </row>
    <row r="41" spans="1:12" x14ac:dyDescent="0.2">
      <c r="B41" s="36" t="s">
        <v>2</v>
      </c>
      <c r="C41" s="7">
        <f>K16</f>
        <v>160</v>
      </c>
      <c r="D41" s="36">
        <f>D39*D42</f>
        <v>166.4</v>
      </c>
      <c r="E41" s="36">
        <f>E39*E42</f>
        <v>173.05600000000001</v>
      </c>
      <c r="F41" s="36">
        <f>F39*F42</f>
        <v>179.97824</v>
      </c>
      <c r="G41" s="36">
        <f>G39*G42</f>
        <v>187.17736960000002</v>
      </c>
      <c r="H41" s="36">
        <f>H39*H42</f>
        <v>194.66446438400001</v>
      </c>
      <c r="J41" s="24">
        <f>IFERROR(RATE(5,,-C41,H41),"NM")</f>
        <v>4.000000000017763E-2</v>
      </c>
    </row>
    <row r="42" spans="1:12" x14ac:dyDescent="0.2">
      <c r="B42" s="37" t="s">
        <v>56</v>
      </c>
      <c r="C42" s="39">
        <f>C41/C39</f>
        <v>0.53333333333333333</v>
      </c>
      <c r="D42" s="38">
        <f>C42</f>
        <v>0.53333333333333333</v>
      </c>
      <c r="E42" s="38">
        <f t="shared" ref="E42:H43" si="1">D42</f>
        <v>0.53333333333333333</v>
      </c>
      <c r="F42" s="38">
        <f t="shared" si="1"/>
        <v>0.53333333333333333</v>
      </c>
      <c r="G42" s="38">
        <f t="shared" si="1"/>
        <v>0.53333333333333333</v>
      </c>
      <c r="H42" s="38">
        <f t="shared" si="1"/>
        <v>0.53333333333333333</v>
      </c>
      <c r="J42" s="24"/>
    </row>
    <row r="43" spans="1:12" x14ac:dyDescent="0.2">
      <c r="B43" s="1" t="s">
        <v>36</v>
      </c>
      <c r="C43" s="36">
        <v>0</v>
      </c>
      <c r="D43" s="7">
        <f>$G$18/3</f>
        <v>10</v>
      </c>
      <c r="E43" s="7">
        <f>$G$18/3*2</f>
        <v>20</v>
      </c>
      <c r="F43" s="7">
        <f>$G$18</f>
        <v>30</v>
      </c>
      <c r="G43" s="7">
        <f t="shared" si="1"/>
        <v>30</v>
      </c>
      <c r="H43" s="7">
        <f t="shared" si="1"/>
        <v>30</v>
      </c>
      <c r="J43" s="40" t="str">
        <f>IFERROR(RATE(5,,-C43,H43),"NM")</f>
        <v>NM</v>
      </c>
    </row>
    <row r="44" spans="1:12" x14ac:dyDescent="0.2">
      <c r="B44" s="37" t="s">
        <v>56</v>
      </c>
      <c r="C44" s="39">
        <f t="shared" ref="C44:H44" si="2">C43/C39</f>
        <v>0</v>
      </c>
      <c r="D44" s="39">
        <f t="shared" si="2"/>
        <v>3.2051282051282048E-2</v>
      </c>
      <c r="E44" s="39">
        <f t="shared" si="2"/>
        <v>6.1637080867850094E-2</v>
      </c>
      <c r="F44" s="39">
        <f t="shared" si="2"/>
        <v>8.8899635867091487E-2</v>
      </c>
      <c r="G44" s="39">
        <f t="shared" si="2"/>
        <v>8.5480419102972577E-2</v>
      </c>
      <c r="H44" s="39">
        <f t="shared" si="2"/>
        <v>8.2192710675935171E-2</v>
      </c>
      <c r="J44" s="24"/>
    </row>
    <row r="45" spans="1:12" x14ac:dyDescent="0.2">
      <c r="B45" s="1" t="s">
        <v>57</v>
      </c>
      <c r="C45" s="36">
        <f t="shared" ref="C45:H45" si="3">C41+C43</f>
        <v>160</v>
      </c>
      <c r="D45" s="36">
        <f t="shared" si="3"/>
        <v>176.4</v>
      </c>
      <c r="E45" s="36">
        <f t="shared" si="3"/>
        <v>193.05600000000001</v>
      </c>
      <c r="F45" s="36">
        <f t="shared" si="3"/>
        <v>209.97824</v>
      </c>
      <c r="G45" s="36">
        <f t="shared" si="3"/>
        <v>217.17736960000002</v>
      </c>
      <c r="H45" s="36">
        <f t="shared" si="3"/>
        <v>224.66446438400001</v>
      </c>
      <c r="J45" s="24">
        <f>IFERROR(RATE(5,,-C45,H45),"NM")</f>
        <v>7.0244193760227835E-2</v>
      </c>
    </row>
    <row r="46" spans="1:12" x14ac:dyDescent="0.2">
      <c r="B46" s="37" t="s">
        <v>56</v>
      </c>
      <c r="C46" s="39">
        <f>C45/C39</f>
        <v>0.53333333333333333</v>
      </c>
      <c r="D46" s="39">
        <f t="shared" ref="D46:H46" si="4">D45/D39</f>
        <v>0.56538461538461537</v>
      </c>
      <c r="E46" s="39">
        <f t="shared" si="4"/>
        <v>0.59497041420118346</v>
      </c>
      <c r="F46" s="39">
        <f t="shared" si="4"/>
        <v>0.62223296920042481</v>
      </c>
      <c r="G46" s="39">
        <f t="shared" si="4"/>
        <v>0.61881375243630588</v>
      </c>
      <c r="H46" s="39">
        <f t="shared" si="4"/>
        <v>0.61552604400926847</v>
      </c>
      <c r="J46" s="24"/>
    </row>
    <row r="47" spans="1:12" x14ac:dyDescent="0.2">
      <c r="B47" s="1" t="s">
        <v>3</v>
      </c>
      <c r="C47" s="7">
        <f>-K17</f>
        <v>-40</v>
      </c>
      <c r="D47" s="36">
        <f>D39*D48</f>
        <v>-41.6</v>
      </c>
      <c r="E47" s="36">
        <f>E39*E48</f>
        <v>-43.264000000000003</v>
      </c>
      <c r="F47" s="36">
        <f>F39*F48</f>
        <v>-44.99456</v>
      </c>
      <c r="G47" s="36">
        <f>G39*G48</f>
        <v>-46.794342400000005</v>
      </c>
      <c r="H47" s="36">
        <f>H39*H48</f>
        <v>-48.666116096000003</v>
      </c>
      <c r="J47" s="24">
        <f>IFERROR(RATE(5,,-C47,H47),"NM")</f>
        <v>4.0000000000138293E-2</v>
      </c>
    </row>
    <row r="48" spans="1:12" x14ac:dyDescent="0.2">
      <c r="B48" s="37" t="s">
        <v>56</v>
      </c>
      <c r="C48" s="39">
        <f>C47/C39</f>
        <v>-0.13333333333333333</v>
      </c>
      <c r="D48" s="39">
        <f>C48</f>
        <v>-0.13333333333333333</v>
      </c>
      <c r="E48" s="39">
        <f>D48</f>
        <v>-0.13333333333333333</v>
      </c>
      <c r="F48" s="39">
        <f>E48</f>
        <v>-0.13333333333333333</v>
      </c>
      <c r="G48" s="39">
        <f>F48</f>
        <v>-0.13333333333333333</v>
      </c>
      <c r="H48" s="39">
        <f>G48</f>
        <v>-0.13333333333333333</v>
      </c>
    </row>
    <row r="49" spans="2:10" x14ac:dyDescent="0.2">
      <c r="B49" s="1" t="s">
        <v>58</v>
      </c>
      <c r="C49" s="36">
        <f>C45+C47</f>
        <v>120</v>
      </c>
      <c r="D49" s="36">
        <f t="shared" ref="D49:H49" si="5">D45+D47</f>
        <v>134.80000000000001</v>
      </c>
      <c r="E49" s="36">
        <f t="shared" si="5"/>
        <v>149.792</v>
      </c>
      <c r="F49" s="36">
        <f t="shared" si="5"/>
        <v>164.98367999999999</v>
      </c>
      <c r="G49" s="36">
        <f t="shared" si="5"/>
        <v>170.38302720000002</v>
      </c>
      <c r="H49" s="36">
        <f t="shared" si="5"/>
        <v>175.99834828800002</v>
      </c>
      <c r="J49" s="24">
        <f>IFERROR(RATE(5,,-C49,H49),"NM")</f>
        <v>7.9606446675214271E-2</v>
      </c>
    </row>
    <row r="50" spans="2:10" x14ac:dyDescent="0.2">
      <c r="B50" s="37" t="s">
        <v>56</v>
      </c>
      <c r="C50" s="39">
        <f t="shared" ref="C50:H50" si="6">C49/C39</f>
        <v>0.4</v>
      </c>
      <c r="D50" s="39">
        <f t="shared" si="6"/>
        <v>0.43205128205128207</v>
      </c>
      <c r="E50" s="39">
        <f t="shared" si="6"/>
        <v>0.4616370808678501</v>
      </c>
      <c r="F50" s="39">
        <f t="shared" si="6"/>
        <v>0.48889963586709145</v>
      </c>
      <c r="G50" s="39">
        <f t="shared" si="6"/>
        <v>0.48548041910297257</v>
      </c>
      <c r="H50" s="39">
        <f t="shared" si="6"/>
        <v>0.48219271067593517</v>
      </c>
    </row>
    <row r="51" spans="2:10" x14ac:dyDescent="0.2">
      <c r="B51" s="1" t="s">
        <v>59</v>
      </c>
      <c r="D51" s="36">
        <f>D119</f>
        <v>-78.083750000000009</v>
      </c>
      <c r="E51" s="36">
        <f t="shared" ref="E51:H51" si="7">E119</f>
        <v>-78.05125000000001</v>
      </c>
      <c r="F51" s="36">
        <f t="shared" si="7"/>
        <v>-78.018750000000011</v>
      </c>
      <c r="G51" s="36">
        <f t="shared" si="7"/>
        <v>-77.986250000000013</v>
      </c>
      <c r="H51" s="36">
        <f t="shared" si="7"/>
        <v>-77.953750000000014</v>
      </c>
      <c r="J51" s="24"/>
    </row>
    <row r="52" spans="2:10" x14ac:dyDescent="0.2">
      <c r="B52" s="1" t="s">
        <v>60</v>
      </c>
      <c r="D52" s="36">
        <f>D49+D51</f>
        <v>56.716250000000002</v>
      </c>
      <c r="E52" s="36">
        <f>E49+E51</f>
        <v>71.740749999999991</v>
      </c>
      <c r="F52" s="36">
        <f>F49+F51</f>
        <v>86.964929999999981</v>
      </c>
      <c r="G52" s="36">
        <f>G49+G51</f>
        <v>92.396777200000002</v>
      </c>
      <c r="H52" s="36">
        <f>H49+H51</f>
        <v>98.044598288000003</v>
      </c>
      <c r="J52" s="24"/>
    </row>
    <row r="53" spans="2:10" x14ac:dyDescent="0.2">
      <c r="B53" s="1" t="s">
        <v>61</v>
      </c>
      <c r="D53" s="36">
        <f>D80</f>
        <v>-9.1790625000000006</v>
      </c>
      <c r="E53" s="36">
        <f t="shared" ref="E53:H53" si="8">E80</f>
        <v>-17.935187499999998</v>
      </c>
      <c r="F53" s="36">
        <f t="shared" si="8"/>
        <v>-21.741232499999995</v>
      </c>
      <c r="G53" s="36">
        <f t="shared" si="8"/>
        <v>-23.099194300000001</v>
      </c>
      <c r="H53" s="36">
        <f t="shared" si="8"/>
        <v>-24.511149572000001</v>
      </c>
    </row>
    <row r="54" spans="2:10" x14ac:dyDescent="0.2">
      <c r="B54" s="37" t="s">
        <v>62</v>
      </c>
      <c r="D54" s="41">
        <f>$G$19</f>
        <v>0.25</v>
      </c>
      <c r="E54" s="41">
        <f>$G$19</f>
        <v>0.25</v>
      </c>
      <c r="F54" s="41">
        <f>$G$19</f>
        <v>0.25</v>
      </c>
      <c r="G54" s="41">
        <f>$G$19</f>
        <v>0.25</v>
      </c>
      <c r="H54" s="41">
        <f>$G$19</f>
        <v>0.25</v>
      </c>
    </row>
    <row r="55" spans="2:10" x14ac:dyDescent="0.2">
      <c r="B55" s="1" t="s">
        <v>63</v>
      </c>
      <c r="D55" s="36">
        <f>D52+D53</f>
        <v>47.537187500000002</v>
      </c>
      <c r="E55" s="36">
        <f>E52+E53</f>
        <v>53.805562499999994</v>
      </c>
      <c r="F55" s="36">
        <f>F52+F53</f>
        <v>65.223697499999986</v>
      </c>
      <c r="G55" s="36">
        <f>G52+G53</f>
        <v>69.297582900000009</v>
      </c>
      <c r="H55" s="36">
        <f>H52+H53</f>
        <v>73.533448716000009</v>
      </c>
    </row>
    <row r="56" spans="2:10" x14ac:dyDescent="0.2">
      <c r="B56" s="37" t="s">
        <v>56</v>
      </c>
      <c r="D56" s="39">
        <f>D55/D39</f>
        <v>0.15236278044871795</v>
      </c>
      <c r="E56" s="39">
        <f>E55/E39</f>
        <v>0.16582089034763312</v>
      </c>
      <c r="F56" s="39">
        <f>F55/F39</f>
        <v>0.19327876525517745</v>
      </c>
      <c r="G56" s="39">
        <f>G55/G39</f>
        <v>0.19745288097049954</v>
      </c>
      <c r="H56" s="39">
        <f>H55/H39</f>
        <v>0.20146378251059685</v>
      </c>
    </row>
    <row r="57" spans="2:10" x14ac:dyDescent="0.2">
      <c r="B57" s="37"/>
    </row>
    <row r="58" spans="2:10" x14ac:dyDescent="0.2">
      <c r="B58" s="1" t="s">
        <v>64</v>
      </c>
      <c r="C58" s="7">
        <f>K19</f>
        <v>20</v>
      </c>
      <c r="D58" s="36">
        <f>D59*D39</f>
        <v>20.8</v>
      </c>
      <c r="E58" s="36">
        <f>E59*E39</f>
        <v>21.632000000000001</v>
      </c>
      <c r="F58" s="36">
        <f>F59*F39</f>
        <v>22.49728</v>
      </c>
      <c r="G58" s="36">
        <f>G59*G39</f>
        <v>23.397171200000003</v>
      </c>
      <c r="H58" s="36">
        <f>H59*H39</f>
        <v>24.333058048000002</v>
      </c>
    </row>
    <row r="59" spans="2:10" x14ac:dyDescent="0.2">
      <c r="B59" s="37" t="s">
        <v>56</v>
      </c>
      <c r="C59" s="39">
        <f>C58/C39</f>
        <v>6.6666666666666666E-2</v>
      </c>
      <c r="D59" s="39">
        <f>C59</f>
        <v>6.6666666666666666E-2</v>
      </c>
      <c r="E59" s="39">
        <f>D59</f>
        <v>6.6666666666666666E-2</v>
      </c>
      <c r="F59" s="39">
        <f>E59</f>
        <v>6.6666666666666666E-2</v>
      </c>
      <c r="G59" s="39">
        <f>F59</f>
        <v>6.6666666666666666E-2</v>
      </c>
      <c r="H59" s="39">
        <f>G59</f>
        <v>6.6666666666666666E-2</v>
      </c>
    </row>
    <row r="60" spans="2:10" x14ac:dyDescent="0.2">
      <c r="B60" s="37" t="s">
        <v>65</v>
      </c>
      <c r="D60" s="36">
        <f>C58-D58</f>
        <v>-0.80000000000000071</v>
      </c>
      <c r="E60" s="36">
        <f t="shared" ref="E60:H60" si="9">D58-E58</f>
        <v>-0.83200000000000074</v>
      </c>
      <c r="F60" s="36">
        <f t="shared" si="9"/>
        <v>-0.86527999999999849</v>
      </c>
      <c r="G60" s="36">
        <f t="shared" si="9"/>
        <v>-0.89989120000000256</v>
      </c>
      <c r="H60" s="36">
        <f t="shared" si="9"/>
        <v>-0.93588684799999911</v>
      </c>
    </row>
    <row r="61" spans="2:10" x14ac:dyDescent="0.2">
      <c r="B61" s="37"/>
      <c r="D61" s="36"/>
      <c r="E61" s="36"/>
      <c r="F61" s="36"/>
      <c r="G61" s="36"/>
      <c r="H61" s="36"/>
    </row>
    <row r="62" spans="2:10" x14ac:dyDescent="0.2">
      <c r="B62" s="1" t="s">
        <v>4</v>
      </c>
      <c r="C62" s="7">
        <f>K18</f>
        <v>40</v>
      </c>
      <c r="D62" s="36">
        <f>D63*D39</f>
        <v>41.6</v>
      </c>
      <c r="E62" s="36">
        <f>E63*E39</f>
        <v>43.264000000000003</v>
      </c>
      <c r="F62" s="36">
        <f>F63*F39</f>
        <v>44.99456</v>
      </c>
      <c r="G62" s="36">
        <f>G63*G39</f>
        <v>46.794342400000005</v>
      </c>
      <c r="H62" s="36">
        <f>H63*H39</f>
        <v>48.666116096000003</v>
      </c>
    </row>
    <row r="63" spans="2:10" x14ac:dyDescent="0.2">
      <c r="B63" s="37" t="s">
        <v>56</v>
      </c>
      <c r="C63" s="39">
        <f>C62/C39</f>
        <v>0.13333333333333333</v>
      </c>
      <c r="D63" s="39">
        <f>C63</f>
        <v>0.13333333333333333</v>
      </c>
      <c r="E63" s="39">
        <f>D63</f>
        <v>0.13333333333333333</v>
      </c>
      <c r="F63" s="39">
        <f>E63</f>
        <v>0.13333333333333333</v>
      </c>
      <c r="G63" s="39">
        <f>F63</f>
        <v>0.13333333333333333</v>
      </c>
      <c r="H63" s="39">
        <f>G63</f>
        <v>0.13333333333333333</v>
      </c>
    </row>
    <row r="64" spans="2:10" x14ac:dyDescent="0.2">
      <c r="B64" s="37"/>
    </row>
    <row r="65" spans="2:8" ht="15" x14ac:dyDescent="0.25">
      <c r="B65" s="33"/>
      <c r="C65" s="34"/>
      <c r="D65" s="34">
        <f>C65+1</f>
        <v>1</v>
      </c>
      <c r="E65" s="34">
        <f t="shared" ref="E65:H65" si="10">D65+1</f>
        <v>2</v>
      </c>
      <c r="F65" s="34">
        <f t="shared" si="10"/>
        <v>3</v>
      </c>
      <c r="G65" s="34">
        <f t="shared" si="10"/>
        <v>4</v>
      </c>
      <c r="H65" s="34">
        <f t="shared" si="10"/>
        <v>5</v>
      </c>
    </row>
    <row r="66" spans="2:8" x14ac:dyDescent="0.2">
      <c r="B66" s="1" t="s">
        <v>57</v>
      </c>
      <c r="D66" s="36">
        <f>D45</f>
        <v>176.4</v>
      </c>
      <c r="E66" s="36">
        <f t="shared" ref="E66:H66" si="11">E45</f>
        <v>193.05600000000001</v>
      </c>
      <c r="F66" s="36">
        <f t="shared" si="11"/>
        <v>209.97824</v>
      </c>
      <c r="G66" s="36">
        <f t="shared" si="11"/>
        <v>217.17736960000002</v>
      </c>
      <c r="H66" s="36">
        <f t="shared" si="11"/>
        <v>224.66446438400001</v>
      </c>
    </row>
    <row r="67" spans="2:8" x14ac:dyDescent="0.2">
      <c r="B67" s="1" t="s">
        <v>67</v>
      </c>
      <c r="D67" s="36">
        <f>-D62</f>
        <v>-41.6</v>
      </c>
      <c r="E67" s="36">
        <f>-E62</f>
        <v>-43.264000000000003</v>
      </c>
      <c r="F67" s="36">
        <f>-F62</f>
        <v>-44.99456</v>
      </c>
      <c r="G67" s="36">
        <f>-G62</f>
        <v>-46.794342400000005</v>
      </c>
      <c r="H67" s="36">
        <f>-H62</f>
        <v>-48.666116096000003</v>
      </c>
    </row>
    <row r="68" spans="2:8" x14ac:dyDescent="0.2">
      <c r="B68" s="1" t="s">
        <v>68</v>
      </c>
      <c r="D68" s="36">
        <f>D51</f>
        <v>-78.083750000000009</v>
      </c>
      <c r="E68" s="36">
        <f>E51</f>
        <v>-78.05125000000001</v>
      </c>
      <c r="F68" s="36">
        <f>F51</f>
        <v>-78.018750000000011</v>
      </c>
      <c r="G68" s="36">
        <f>G51</f>
        <v>-77.986250000000013</v>
      </c>
      <c r="H68" s="36">
        <f>H51</f>
        <v>-77.953750000000014</v>
      </c>
    </row>
    <row r="69" spans="2:8" x14ac:dyDescent="0.2">
      <c r="B69" s="1" t="s">
        <v>69</v>
      </c>
      <c r="D69" s="36">
        <f>D53</f>
        <v>-9.1790625000000006</v>
      </c>
      <c r="E69" s="36">
        <f>E53</f>
        <v>-17.935187499999998</v>
      </c>
      <c r="F69" s="36">
        <f>F53</f>
        <v>-21.741232499999995</v>
      </c>
      <c r="G69" s="36">
        <f>G53</f>
        <v>-23.099194300000001</v>
      </c>
      <c r="H69" s="36">
        <f>H53</f>
        <v>-24.511149572000001</v>
      </c>
    </row>
    <row r="70" spans="2:8" x14ac:dyDescent="0.2">
      <c r="B70" s="9" t="s">
        <v>70</v>
      </c>
      <c r="C70" s="9"/>
      <c r="D70" s="42">
        <f>D60</f>
        <v>-0.80000000000000071</v>
      </c>
      <c r="E70" s="42">
        <f t="shared" ref="E70:H70" si="12">E60</f>
        <v>-0.83200000000000074</v>
      </c>
      <c r="F70" s="42">
        <f t="shared" si="12"/>
        <v>-0.86527999999999849</v>
      </c>
      <c r="G70" s="42">
        <f t="shared" si="12"/>
        <v>-0.89989120000000256</v>
      </c>
      <c r="H70" s="42">
        <f t="shared" si="12"/>
        <v>-0.93588684799999911</v>
      </c>
    </row>
    <row r="71" spans="2:8" x14ac:dyDescent="0.2">
      <c r="B71" s="1" t="s">
        <v>66</v>
      </c>
      <c r="D71" s="36">
        <f>SUM(D66:D70)</f>
        <v>46.737187500000005</v>
      </c>
      <c r="E71" s="36">
        <f>SUM(E66:E70)</f>
        <v>52.973562499999993</v>
      </c>
      <c r="F71" s="36">
        <f>SUM(F66:F70)</f>
        <v>64.358417499999987</v>
      </c>
      <c r="G71" s="36">
        <f>SUM(G66:G70)</f>
        <v>68.39769170000001</v>
      </c>
      <c r="H71" s="36">
        <f>SUM(H66:H70)</f>
        <v>72.597561868000014</v>
      </c>
    </row>
    <row r="72" spans="2:8" x14ac:dyDescent="0.2">
      <c r="H72" s="18"/>
    </row>
    <row r="73" spans="2:8" x14ac:dyDescent="0.2">
      <c r="H73" s="18"/>
    </row>
    <row r="74" spans="2:8" ht="15" x14ac:dyDescent="0.25">
      <c r="B74" s="43" t="s">
        <v>71</v>
      </c>
      <c r="C74" s="33"/>
      <c r="D74" s="34">
        <f>C74+1</f>
        <v>1</v>
      </c>
      <c r="E74" s="34">
        <f t="shared" ref="E74:H74" si="13">D74+1</f>
        <v>2</v>
      </c>
      <c r="F74" s="34">
        <f t="shared" si="13"/>
        <v>3</v>
      </c>
      <c r="G74" s="34">
        <f t="shared" si="13"/>
        <v>4</v>
      </c>
      <c r="H74" s="34">
        <f t="shared" si="13"/>
        <v>5</v>
      </c>
    </row>
    <row r="75" spans="2:8" x14ac:dyDescent="0.2">
      <c r="B75" s="1" t="s">
        <v>72</v>
      </c>
      <c r="D75" s="36">
        <f>D52</f>
        <v>56.716250000000002</v>
      </c>
      <c r="E75" s="36">
        <f>E52</f>
        <v>71.740749999999991</v>
      </c>
      <c r="F75" s="36">
        <f>F52</f>
        <v>86.964929999999981</v>
      </c>
      <c r="G75" s="36">
        <f>G52</f>
        <v>92.396777200000002</v>
      </c>
      <c r="H75" s="36">
        <f>H52</f>
        <v>98.044598288000003</v>
      </c>
    </row>
    <row r="76" spans="2:8" x14ac:dyDescent="0.2">
      <c r="B76" s="1" t="s">
        <v>73</v>
      </c>
      <c r="D76" s="36">
        <f>C15</f>
        <v>20</v>
      </c>
      <c r="E76" s="36">
        <f>D78</f>
        <v>0</v>
      </c>
      <c r="F76" s="36">
        <f>E78</f>
        <v>0</v>
      </c>
      <c r="G76" s="36">
        <f>F78</f>
        <v>0</v>
      </c>
      <c r="H76" s="36">
        <f>G78</f>
        <v>0</v>
      </c>
    </row>
    <row r="77" spans="2:8" x14ac:dyDescent="0.2">
      <c r="B77" s="1" t="s">
        <v>74</v>
      </c>
      <c r="D77" s="36">
        <f>-MIN(D76,D75,$C$16*SUM($C$13))</f>
        <v>-20</v>
      </c>
      <c r="E77" s="36">
        <f>-MIN(E76,E75,$C$16*SUM($C$13))</f>
        <v>0</v>
      </c>
      <c r="F77" s="36">
        <f>-MIN(F76,F75,$C$16*SUM($C$13))</f>
        <v>0</v>
      </c>
      <c r="G77" s="36">
        <f>-MIN(G76,G75,$C$16*SUM($C$13))</f>
        <v>0</v>
      </c>
      <c r="H77" s="36">
        <f>-MIN(H76,H75,$C$16*SUM($C$13))</f>
        <v>0</v>
      </c>
    </row>
    <row r="78" spans="2:8" x14ac:dyDescent="0.2">
      <c r="B78" s="1" t="s">
        <v>75</v>
      </c>
      <c r="D78" s="36">
        <f>D76+D77</f>
        <v>0</v>
      </c>
      <c r="E78" s="36">
        <f>E76+E77</f>
        <v>0</v>
      </c>
      <c r="F78" s="36">
        <f>F76+F77</f>
        <v>0</v>
      </c>
      <c r="G78" s="36">
        <f>G76+G77</f>
        <v>0</v>
      </c>
      <c r="H78" s="36">
        <f>H76+H77</f>
        <v>0</v>
      </c>
    </row>
    <row r="79" spans="2:8" x14ac:dyDescent="0.2">
      <c r="B79" s="1" t="s">
        <v>76</v>
      </c>
      <c r="D79" s="36">
        <f>D75+D77</f>
        <v>36.716250000000002</v>
      </c>
      <c r="E79" s="36">
        <f t="shared" ref="E79:H79" si="14">E75+E77</f>
        <v>71.740749999999991</v>
      </c>
      <c r="F79" s="36">
        <f t="shared" si="14"/>
        <v>86.964929999999981</v>
      </c>
      <c r="G79" s="36">
        <f t="shared" si="14"/>
        <v>92.396777200000002</v>
      </c>
      <c r="H79" s="36">
        <f t="shared" si="14"/>
        <v>98.044598288000003</v>
      </c>
    </row>
    <row r="80" spans="2:8" x14ac:dyDescent="0.2">
      <c r="B80" s="1" t="s">
        <v>61</v>
      </c>
      <c r="D80" s="36">
        <f>-D79*$G$19</f>
        <v>-9.1790625000000006</v>
      </c>
      <c r="E80" s="36">
        <f>-E79*$G$19</f>
        <v>-17.935187499999998</v>
      </c>
      <c r="F80" s="36">
        <f>-F79*$G$19</f>
        <v>-21.741232499999995</v>
      </c>
      <c r="G80" s="36">
        <f>-G79*$G$19</f>
        <v>-23.099194300000001</v>
      </c>
      <c r="H80" s="36">
        <f>-H79*$G$19</f>
        <v>-24.511149572000001</v>
      </c>
    </row>
    <row r="81" spans="2:8" x14ac:dyDescent="0.2">
      <c r="H81" s="18"/>
    </row>
    <row r="82" spans="2:8" ht="15" x14ac:dyDescent="0.25">
      <c r="B82" s="43" t="s">
        <v>77</v>
      </c>
      <c r="C82" s="43"/>
      <c r="D82" s="34">
        <f>C82+1</f>
        <v>1</v>
      </c>
      <c r="E82" s="34">
        <f t="shared" ref="E82:H82" si="15">D82+1</f>
        <v>2</v>
      </c>
      <c r="F82" s="34">
        <f t="shared" si="15"/>
        <v>3</v>
      </c>
      <c r="G82" s="34">
        <f t="shared" si="15"/>
        <v>4</v>
      </c>
      <c r="H82" s="34">
        <f t="shared" si="15"/>
        <v>5</v>
      </c>
    </row>
    <row r="83" spans="2:8" ht="15" x14ac:dyDescent="0.25">
      <c r="B83" s="2"/>
      <c r="C83" s="2"/>
      <c r="D83" s="44"/>
      <c r="E83" s="44"/>
      <c r="F83" s="44"/>
      <c r="G83" s="44"/>
      <c r="H83" s="44"/>
    </row>
    <row r="84" spans="2:8" x14ac:dyDescent="0.2">
      <c r="B84" s="1" t="s">
        <v>11</v>
      </c>
      <c r="D84" s="45">
        <f>Prompt!C28</f>
        <v>3.5000000000000003E-2</v>
      </c>
      <c r="E84" s="45">
        <f>Prompt!D28</f>
        <v>3.2500000000000001E-2</v>
      </c>
      <c r="F84" s="45">
        <f>Prompt!E28</f>
        <v>3.0000000000000002E-2</v>
      </c>
      <c r="G84" s="45">
        <f>Prompt!F28</f>
        <v>2.7500000000000004E-2</v>
      </c>
      <c r="H84" s="45">
        <f>Prompt!G28</f>
        <v>2.5000000000000005E-2</v>
      </c>
    </row>
    <row r="85" spans="2:8" x14ac:dyDescent="0.2">
      <c r="B85" s="1" t="s">
        <v>78</v>
      </c>
      <c r="D85" s="45">
        <f>MAX(D84,$G$14)</f>
        <v>0.05</v>
      </c>
      <c r="E85" s="45">
        <f>MAX(E84,$G$14)</f>
        <v>0.05</v>
      </c>
      <c r="F85" s="45">
        <f>MAX(F84,$G$14)</f>
        <v>0.05</v>
      </c>
      <c r="G85" s="45">
        <f>MAX(G84,$G$14)</f>
        <v>0.05</v>
      </c>
      <c r="H85" s="45">
        <f>MAX(H84,$G$14)</f>
        <v>0.05</v>
      </c>
    </row>
    <row r="86" spans="2:8" x14ac:dyDescent="0.2">
      <c r="D86" s="45"/>
      <c r="E86" s="45"/>
      <c r="F86" s="45"/>
      <c r="G86" s="45"/>
      <c r="H86" s="45"/>
    </row>
    <row r="87" spans="2:8" x14ac:dyDescent="0.2">
      <c r="B87" s="1" t="s">
        <v>79</v>
      </c>
    </row>
    <row r="88" spans="2:8" x14ac:dyDescent="0.2">
      <c r="B88" s="1" t="s">
        <v>114</v>
      </c>
      <c r="D88" s="36">
        <f>I27</f>
        <v>10</v>
      </c>
      <c r="E88" s="36">
        <f>D109</f>
        <v>10</v>
      </c>
      <c r="F88" s="36">
        <f t="shared" ref="F88:H88" si="16">E109</f>
        <v>10</v>
      </c>
      <c r="G88" s="36">
        <f t="shared" si="16"/>
        <v>10</v>
      </c>
      <c r="H88" s="36">
        <f t="shared" si="16"/>
        <v>10</v>
      </c>
    </row>
    <row r="89" spans="2:8" x14ac:dyDescent="0.2">
      <c r="B89" s="1" t="s">
        <v>115</v>
      </c>
      <c r="D89" s="36">
        <f>D71</f>
        <v>46.737187500000005</v>
      </c>
      <c r="E89" s="36">
        <f t="shared" ref="E89:H89" si="17">E71</f>
        <v>52.973562499999993</v>
      </c>
      <c r="F89" s="36">
        <f t="shared" si="17"/>
        <v>64.358417499999987</v>
      </c>
      <c r="G89" s="36">
        <f t="shared" si="17"/>
        <v>68.39769170000001</v>
      </c>
      <c r="H89" s="36">
        <f t="shared" si="17"/>
        <v>72.597561868000014</v>
      </c>
    </row>
    <row r="90" spans="2:8" x14ac:dyDescent="0.2">
      <c r="B90" s="1" t="s">
        <v>116</v>
      </c>
      <c r="D90" s="36">
        <f>-C19</f>
        <v>-10</v>
      </c>
      <c r="E90" s="36">
        <f>D90</f>
        <v>-10</v>
      </c>
      <c r="F90" s="36">
        <f t="shared" ref="F90:H90" si="18">E90</f>
        <v>-10</v>
      </c>
      <c r="G90" s="36">
        <f t="shared" si="18"/>
        <v>-10</v>
      </c>
      <c r="H90" s="36">
        <f t="shared" si="18"/>
        <v>-10</v>
      </c>
    </row>
    <row r="91" spans="2:8" x14ac:dyDescent="0.2">
      <c r="B91" s="1" t="s">
        <v>117</v>
      </c>
      <c r="D91" s="36">
        <f>D88*D85</f>
        <v>0.5</v>
      </c>
      <c r="E91" s="36">
        <f>E88*E85</f>
        <v>0.5</v>
      </c>
      <c r="F91" s="36">
        <f>F88*F85</f>
        <v>0.5</v>
      </c>
      <c r="G91" s="36">
        <f>G88*G85</f>
        <v>0.5</v>
      </c>
      <c r="H91" s="36">
        <f>H88*H85</f>
        <v>0.5</v>
      </c>
    </row>
    <row r="92" spans="2:8" ht="15" x14ac:dyDescent="0.25">
      <c r="B92" s="2"/>
      <c r="C92" s="2"/>
      <c r="D92" s="44"/>
      <c r="E92" s="44"/>
      <c r="F92" s="44"/>
      <c r="G92" s="44"/>
      <c r="H92" s="44"/>
    </row>
    <row r="93" spans="2:8" x14ac:dyDescent="0.2">
      <c r="B93" s="1" t="s">
        <v>24</v>
      </c>
    </row>
    <row r="94" spans="2:8" x14ac:dyDescent="0.2">
      <c r="B94" s="1" t="s">
        <v>80</v>
      </c>
      <c r="D94" s="36">
        <f>C27</f>
        <v>520</v>
      </c>
      <c r="E94" s="36">
        <f>D96</f>
        <v>519.5</v>
      </c>
      <c r="F94" s="36">
        <f>E96</f>
        <v>519</v>
      </c>
      <c r="G94" s="36">
        <f>F96</f>
        <v>518.5</v>
      </c>
      <c r="H94" s="36">
        <f>G96</f>
        <v>518</v>
      </c>
    </row>
    <row r="95" spans="2:8" x14ac:dyDescent="0.2">
      <c r="B95" s="1" t="s">
        <v>83</v>
      </c>
      <c r="D95" s="36">
        <f>-MAX(MIN(D94,D91))</f>
        <v>-0.5</v>
      </c>
      <c r="E95" s="36">
        <f>-MAX(MIN(E94,E91))</f>
        <v>-0.5</v>
      </c>
      <c r="F95" s="36">
        <f>-MAX(MIN(F94,F91))</f>
        <v>-0.5</v>
      </c>
      <c r="G95" s="36">
        <f>-MAX(MIN(G94,G91))</f>
        <v>-0.5</v>
      </c>
      <c r="H95" s="36">
        <f>-MAX(MIN(H94,H91))</f>
        <v>-0.5</v>
      </c>
    </row>
    <row r="96" spans="2:8" x14ac:dyDescent="0.2">
      <c r="B96" s="1" t="s">
        <v>82</v>
      </c>
      <c r="D96" s="36">
        <f>D94+D95</f>
        <v>519.5</v>
      </c>
      <c r="E96" s="36">
        <f>E94+E95</f>
        <v>519</v>
      </c>
      <c r="F96" s="36">
        <f>F94+F95</f>
        <v>518.5</v>
      </c>
      <c r="G96" s="36">
        <f>G94+G95</f>
        <v>518</v>
      </c>
      <c r="H96" s="36">
        <f>H94+H95</f>
        <v>517.5</v>
      </c>
    </row>
    <row r="97" spans="2:8" x14ac:dyDescent="0.2">
      <c r="B97" s="1" t="s">
        <v>81</v>
      </c>
      <c r="D97" s="36">
        <f>-AVERAGE(D94,D96)*(D85+$G$12/10000)</f>
        <v>-33.783749999999998</v>
      </c>
      <c r="E97" s="36">
        <f t="shared" ref="E97:H97" si="19">-AVERAGE(E94,E96)*(E85+$G$12/10000)</f>
        <v>-33.751249999999999</v>
      </c>
      <c r="F97" s="36">
        <f t="shared" si="19"/>
        <v>-33.71875</v>
      </c>
      <c r="G97" s="36">
        <f t="shared" si="19"/>
        <v>-33.686250000000001</v>
      </c>
      <c r="H97" s="36">
        <f t="shared" si="19"/>
        <v>-33.653750000000002</v>
      </c>
    </row>
    <row r="99" spans="2:8" x14ac:dyDescent="0.2">
      <c r="B99" s="1" t="s">
        <v>118</v>
      </c>
      <c r="D99" s="36">
        <f>D91+D95</f>
        <v>0</v>
      </c>
      <c r="E99" s="36">
        <f>E91+E95</f>
        <v>0</v>
      </c>
      <c r="F99" s="36">
        <f>F91+F95</f>
        <v>0</v>
      </c>
      <c r="G99" s="36">
        <f>G91+G95</f>
        <v>0</v>
      </c>
      <c r="H99" s="36">
        <f>H91+H95</f>
        <v>0</v>
      </c>
    </row>
    <row r="101" spans="2:8" x14ac:dyDescent="0.2">
      <c r="B101" s="1" t="s">
        <v>28</v>
      </c>
    </row>
    <row r="102" spans="2:8" x14ac:dyDescent="0.2">
      <c r="B102" s="1" t="s">
        <v>80</v>
      </c>
      <c r="D102" s="36">
        <f>C28</f>
        <v>280</v>
      </c>
      <c r="E102" s="36">
        <f>D104</f>
        <v>280</v>
      </c>
      <c r="F102" s="36">
        <f>E104</f>
        <v>280</v>
      </c>
      <c r="G102" s="36">
        <f>F104</f>
        <v>280</v>
      </c>
      <c r="H102" s="36">
        <f>G104</f>
        <v>280</v>
      </c>
    </row>
    <row r="103" spans="2:8" x14ac:dyDescent="0.2">
      <c r="B103" s="1" t="s">
        <v>83</v>
      </c>
      <c r="D103" s="36">
        <f>-MAX(MIN(D102,D99))</f>
        <v>0</v>
      </c>
      <c r="E103" s="36">
        <f>-MAX(MIN(E102,E99))</f>
        <v>0</v>
      </c>
      <c r="F103" s="36">
        <f>-MAX(MIN(F102,F99))</f>
        <v>0</v>
      </c>
      <c r="G103" s="36">
        <f>-MAX(MIN(G102,G99))</f>
        <v>0</v>
      </c>
      <c r="H103" s="36">
        <f>-MAX(MIN(H102,H99))</f>
        <v>0</v>
      </c>
    </row>
    <row r="104" spans="2:8" x14ac:dyDescent="0.2">
      <c r="B104" s="1" t="s">
        <v>82</v>
      </c>
      <c r="D104" s="36">
        <f>D102+D103</f>
        <v>280</v>
      </c>
      <c r="E104" s="36">
        <f>E102+E103</f>
        <v>280</v>
      </c>
      <c r="F104" s="36">
        <f>F102+F103</f>
        <v>280</v>
      </c>
      <c r="G104" s="36">
        <f>G102+G103</f>
        <v>280</v>
      </c>
      <c r="H104" s="36">
        <f>H102+H103</f>
        <v>280</v>
      </c>
    </row>
    <row r="105" spans="2:8" x14ac:dyDescent="0.2">
      <c r="B105" s="1" t="s">
        <v>81</v>
      </c>
      <c r="D105" s="36">
        <f>-D102*$G$13</f>
        <v>-44.800000000000004</v>
      </c>
      <c r="E105" s="36">
        <f>-E102*$G$13</f>
        <v>-44.800000000000004</v>
      </c>
      <c r="F105" s="36">
        <f>-F102*$G$13</f>
        <v>-44.800000000000004</v>
      </c>
      <c r="G105" s="36">
        <f>-G102*$G$13</f>
        <v>-44.800000000000004</v>
      </c>
      <c r="H105" s="36">
        <f>-H102*$G$13</f>
        <v>-44.800000000000004</v>
      </c>
    </row>
    <row r="107" spans="2:8" x14ac:dyDescent="0.2">
      <c r="B107" s="1" t="s">
        <v>114</v>
      </c>
      <c r="D107" s="36">
        <f>D88</f>
        <v>10</v>
      </c>
      <c r="E107" s="36">
        <f>D109</f>
        <v>10</v>
      </c>
      <c r="F107" s="36">
        <f t="shared" ref="F107:H107" si="20">E109</f>
        <v>10</v>
      </c>
      <c r="G107" s="36">
        <f t="shared" si="20"/>
        <v>10</v>
      </c>
      <c r="H107" s="36">
        <f t="shared" si="20"/>
        <v>10</v>
      </c>
    </row>
    <row r="108" spans="2:8" x14ac:dyDescent="0.2">
      <c r="B108" s="1" t="s">
        <v>119</v>
      </c>
      <c r="D108" s="36">
        <f>D91+D95+D103</f>
        <v>0</v>
      </c>
      <c r="E108" s="36">
        <f>E91+E95+E103</f>
        <v>0</v>
      </c>
      <c r="F108" s="36">
        <f t="shared" ref="F108:H108" si="21">F91+F95+F103</f>
        <v>0</v>
      </c>
      <c r="G108" s="36">
        <f t="shared" si="21"/>
        <v>0</v>
      </c>
      <c r="H108" s="36">
        <f t="shared" si="21"/>
        <v>0</v>
      </c>
    </row>
    <row r="109" spans="2:8" x14ac:dyDescent="0.2">
      <c r="B109" s="1" t="s">
        <v>120</v>
      </c>
      <c r="D109" s="36">
        <f>SUM(D107:D108)</f>
        <v>10</v>
      </c>
      <c r="E109" s="36">
        <f>SUM(E107:E108)</f>
        <v>10</v>
      </c>
      <c r="F109" s="36">
        <f t="shared" ref="F109:H109" si="22">SUM(F107:F108)</f>
        <v>10</v>
      </c>
      <c r="G109" s="36">
        <f t="shared" si="22"/>
        <v>10</v>
      </c>
      <c r="H109" s="36">
        <f t="shared" si="22"/>
        <v>10</v>
      </c>
    </row>
    <row r="111" spans="2:8" x14ac:dyDescent="0.2">
      <c r="B111" s="1" t="s">
        <v>84</v>
      </c>
    </row>
    <row r="112" spans="2:8" x14ac:dyDescent="0.2">
      <c r="B112" s="1" t="s">
        <v>80</v>
      </c>
      <c r="D112" s="36">
        <f>SUM(D94,D102)</f>
        <v>800</v>
      </c>
      <c r="E112" s="36">
        <f>SUM(E94,E102)</f>
        <v>799.5</v>
      </c>
      <c r="F112" s="36">
        <f>SUM(F94,F102)</f>
        <v>799</v>
      </c>
      <c r="G112" s="36">
        <f>SUM(G94,G102)</f>
        <v>798.5</v>
      </c>
      <c r="H112" s="36">
        <f>SUM(H94,H102)</f>
        <v>798</v>
      </c>
    </row>
    <row r="113" spans="1:11" x14ac:dyDescent="0.2">
      <c r="B113" s="1" t="s">
        <v>81</v>
      </c>
      <c r="D113" s="36">
        <f>SUM(D97,D105)</f>
        <v>-78.583750000000009</v>
      </c>
      <c r="E113" s="36">
        <f>SUM(E97,E105)</f>
        <v>-78.55125000000001</v>
      </c>
      <c r="F113" s="36">
        <f>SUM(F97,F105)</f>
        <v>-78.518750000000011</v>
      </c>
      <c r="G113" s="36">
        <f>SUM(G97,G105)</f>
        <v>-78.486250000000013</v>
      </c>
      <c r="H113" s="36">
        <f>SUM(H97,H105)</f>
        <v>-78.453750000000014</v>
      </c>
    </row>
    <row r="114" spans="1:11" x14ac:dyDescent="0.2">
      <c r="B114" s="1" t="s">
        <v>83</v>
      </c>
      <c r="D114" s="36">
        <f t="shared" ref="D114:H115" si="23">SUM(D95,D103)</f>
        <v>-0.5</v>
      </c>
      <c r="E114" s="36">
        <f t="shared" si="23"/>
        <v>-0.5</v>
      </c>
      <c r="F114" s="36">
        <f t="shared" si="23"/>
        <v>-0.5</v>
      </c>
      <c r="G114" s="36">
        <f t="shared" si="23"/>
        <v>-0.5</v>
      </c>
      <c r="H114" s="36">
        <f t="shared" si="23"/>
        <v>-0.5</v>
      </c>
    </row>
    <row r="115" spans="1:11" x14ac:dyDescent="0.2">
      <c r="B115" s="1" t="s">
        <v>82</v>
      </c>
      <c r="D115" s="36">
        <f t="shared" si="23"/>
        <v>799.5</v>
      </c>
      <c r="E115" s="36">
        <f t="shared" si="23"/>
        <v>799</v>
      </c>
      <c r="F115" s="36">
        <f t="shared" si="23"/>
        <v>798.5</v>
      </c>
      <c r="G115" s="36">
        <f t="shared" si="23"/>
        <v>798</v>
      </c>
      <c r="H115" s="36">
        <f t="shared" si="23"/>
        <v>797.5</v>
      </c>
    </row>
    <row r="117" spans="1:11" x14ac:dyDescent="0.2">
      <c r="B117" s="1" t="s">
        <v>85</v>
      </c>
    </row>
    <row r="118" spans="1:11" x14ac:dyDescent="0.2">
      <c r="B118" s="1" t="s">
        <v>80</v>
      </c>
      <c r="D118" s="36">
        <f>D112-D88</f>
        <v>790</v>
      </c>
      <c r="E118" s="36">
        <f>E112-E88</f>
        <v>789.5</v>
      </c>
      <c r="F118" s="36">
        <f>F112-F88</f>
        <v>789</v>
      </c>
      <c r="G118" s="36">
        <f>G112-G88</f>
        <v>788.5</v>
      </c>
      <c r="H118" s="36">
        <f>H112-H88</f>
        <v>788</v>
      </c>
    </row>
    <row r="119" spans="1:11" x14ac:dyDescent="0.2">
      <c r="B119" s="1" t="s">
        <v>81</v>
      </c>
      <c r="D119" s="36">
        <f>D113+D91</f>
        <v>-78.083750000000009</v>
      </c>
      <c r="E119" s="36">
        <f>E113+E91</f>
        <v>-78.05125000000001</v>
      </c>
      <c r="F119" s="36">
        <f>F113+F91</f>
        <v>-78.018750000000011</v>
      </c>
      <c r="G119" s="36">
        <f>G113+G91</f>
        <v>-77.986250000000013</v>
      </c>
      <c r="H119" s="36">
        <f>H113+H91</f>
        <v>-77.953750000000014</v>
      </c>
    </row>
    <row r="120" spans="1:11" x14ac:dyDescent="0.2">
      <c r="B120" s="1" t="s">
        <v>83</v>
      </c>
      <c r="D120" s="36">
        <f>D114-D89</f>
        <v>-47.237187500000005</v>
      </c>
      <c r="E120" s="36">
        <f>E114-E89</f>
        <v>-53.473562499999993</v>
      </c>
      <c r="F120" s="36">
        <f>F114-F89</f>
        <v>-64.858417499999987</v>
      </c>
      <c r="G120" s="36">
        <f>G114-G89</f>
        <v>-68.89769170000001</v>
      </c>
      <c r="H120" s="36">
        <f>H114-H89</f>
        <v>-73.097561868000014</v>
      </c>
    </row>
    <row r="121" spans="1:11" x14ac:dyDescent="0.2">
      <c r="B121" s="1" t="s">
        <v>82</v>
      </c>
      <c r="D121" s="36">
        <f>D118+D120</f>
        <v>742.7628125</v>
      </c>
      <c r="E121" s="36">
        <f>E118+E120</f>
        <v>736.02643750000004</v>
      </c>
      <c r="F121" s="36">
        <f>F118+F120</f>
        <v>724.14158250000003</v>
      </c>
      <c r="G121" s="36">
        <f>G118+G120</f>
        <v>719.6023083</v>
      </c>
      <c r="H121" s="36">
        <f>H118+H120</f>
        <v>714.90243813200004</v>
      </c>
    </row>
    <row r="123" spans="1:11" x14ac:dyDescent="0.2">
      <c r="B123" s="37" t="s">
        <v>86</v>
      </c>
      <c r="D123" s="25">
        <f>D121/D41</f>
        <v>4.4637188251201918</v>
      </c>
      <c r="E123" s="25">
        <f>E121/E41</f>
        <v>4.253111348349667</v>
      </c>
      <c r="F123" s="25">
        <f>F121/F41</f>
        <v>4.0234951875293374</v>
      </c>
      <c r="G123" s="25">
        <f>G121/G41</f>
        <v>3.8444941813094049</v>
      </c>
      <c r="H123" s="25">
        <f>H121/H41</f>
        <v>3.6724855786815076</v>
      </c>
    </row>
    <row r="124" spans="1:11" x14ac:dyDescent="0.2">
      <c r="B124" s="37" t="s">
        <v>87</v>
      </c>
      <c r="D124" s="25">
        <f>-D41/D119</f>
        <v>2.1310451918613027</v>
      </c>
      <c r="E124" s="25">
        <f>-E41/E119</f>
        <v>2.2172098460947134</v>
      </c>
      <c r="F124" s="25">
        <f>-F41/F119</f>
        <v>2.306858799967956</v>
      </c>
      <c r="G124" s="25">
        <f>-G41/G119</f>
        <v>2.4001329670294442</v>
      </c>
      <c r="H124" s="25">
        <f>-H41/H119</f>
        <v>2.4971789603963885</v>
      </c>
    </row>
    <row r="127" spans="1:11" ht="15" x14ac:dyDescent="0.25">
      <c r="A127" s="65" t="s">
        <v>124</v>
      </c>
      <c r="B127" s="64" t="s">
        <v>125</v>
      </c>
      <c r="C127" s="64"/>
      <c r="D127" s="64"/>
      <c r="E127" s="64"/>
      <c r="F127" s="64"/>
      <c r="G127" s="64"/>
      <c r="H127" s="64"/>
      <c r="I127" s="64"/>
      <c r="J127" s="64"/>
      <c r="K127" s="64"/>
    </row>
    <row r="130" spans="2:9" x14ac:dyDescent="0.2">
      <c r="B130" s="1" t="s">
        <v>88</v>
      </c>
      <c r="H130" s="36">
        <f>H45</f>
        <v>224.66446438400001</v>
      </c>
    </row>
    <row r="131" spans="2:9" x14ac:dyDescent="0.2">
      <c r="B131" s="9" t="s">
        <v>89</v>
      </c>
      <c r="C131" s="9"/>
      <c r="D131" s="9"/>
      <c r="E131" s="9"/>
      <c r="F131" s="9"/>
      <c r="G131" s="9"/>
      <c r="H131" s="27">
        <f>K11</f>
        <v>7</v>
      </c>
    </row>
    <row r="132" spans="2:9" x14ac:dyDescent="0.2">
      <c r="B132" s="1" t="s">
        <v>90</v>
      </c>
      <c r="H132" s="36">
        <f>H130*H131</f>
        <v>1572.6512506880001</v>
      </c>
    </row>
    <row r="133" spans="2:9" x14ac:dyDescent="0.2">
      <c r="B133" s="9" t="s">
        <v>91</v>
      </c>
      <c r="C133" s="9"/>
      <c r="D133" s="9"/>
      <c r="E133" s="9"/>
      <c r="F133" s="9"/>
      <c r="G133" s="9"/>
      <c r="H133" s="42">
        <f>-H121</f>
        <v>-714.90243813200004</v>
      </c>
    </row>
    <row r="134" spans="2:9" x14ac:dyDescent="0.2">
      <c r="B134" s="1" t="s">
        <v>92</v>
      </c>
      <c r="H134" s="36">
        <f>SUM(H132:H133)</f>
        <v>857.74881255600008</v>
      </c>
    </row>
    <row r="135" spans="2:9" x14ac:dyDescent="0.2">
      <c r="B135" s="1" t="s">
        <v>93</v>
      </c>
      <c r="H135" s="7">
        <f>IF(H134&gt;SUM(C31:C32),K12*SUM(C31:C32),0)</f>
        <v>21.5</v>
      </c>
    </row>
    <row r="136" spans="2:9" x14ac:dyDescent="0.2">
      <c r="B136" s="9" t="s">
        <v>94</v>
      </c>
      <c r="C136" s="9"/>
      <c r="D136" s="9"/>
      <c r="E136" s="9"/>
      <c r="F136" s="9"/>
      <c r="G136" s="9"/>
      <c r="H136" s="26">
        <f>IF(H135&gt;0,-(K12/(1+K12))*SUM(H134:H135),0)</f>
        <v>-41.868991074095241</v>
      </c>
      <c r="I136" s="36"/>
    </row>
    <row r="137" spans="2:9" x14ac:dyDescent="0.2">
      <c r="B137" s="1" t="s">
        <v>95</v>
      </c>
      <c r="H137" s="36">
        <f>SUM(H134:H136)</f>
        <v>837.37982148190486</v>
      </c>
    </row>
    <row r="139" spans="2:9" x14ac:dyDescent="0.2">
      <c r="B139" s="1" t="s">
        <v>96</v>
      </c>
      <c r="H139" s="36">
        <f>H137*(C32/SUM(C31:C32))</f>
        <v>798.43192280832795</v>
      </c>
    </row>
    <row r="140" spans="2:9" x14ac:dyDescent="0.2">
      <c r="B140" s="1" t="s">
        <v>97</v>
      </c>
      <c r="H140" s="36">
        <f>C32</f>
        <v>410</v>
      </c>
    </row>
    <row r="142" spans="2:9" ht="15" x14ac:dyDescent="0.25">
      <c r="B142" s="46" t="s">
        <v>98</v>
      </c>
      <c r="C142" s="47"/>
      <c r="D142" s="47"/>
      <c r="E142" s="47"/>
      <c r="F142" s="47"/>
      <c r="G142" s="47"/>
      <c r="H142" s="48">
        <f>H139/H140</f>
        <v>1.9473949336788487</v>
      </c>
    </row>
    <row r="143" spans="2:9" ht="15" x14ac:dyDescent="0.25">
      <c r="B143" s="49" t="s">
        <v>99</v>
      </c>
      <c r="C143" s="23"/>
      <c r="D143" s="23"/>
      <c r="E143" s="23"/>
      <c r="F143" s="23"/>
      <c r="G143" s="23"/>
      <c r="H143" s="50">
        <f>H142^(1/5)-1</f>
        <v>0.14259102181258809</v>
      </c>
    </row>
    <row r="148" spans="2:12" ht="15" x14ac:dyDescent="0.25">
      <c r="B148" s="51" t="s">
        <v>100</v>
      </c>
      <c r="C148" s="52"/>
      <c r="D148" s="52"/>
      <c r="E148" s="52"/>
      <c r="F148" s="52"/>
      <c r="G148" s="52"/>
      <c r="H148" s="52"/>
      <c r="I148" s="52"/>
      <c r="J148" s="52"/>
      <c r="K148" s="52"/>
    </row>
    <row r="149" spans="2:12" x14ac:dyDescent="0.2">
      <c r="C149" s="6">
        <f>C150*$C$11</f>
        <v>1120</v>
      </c>
      <c r="D149" s="6">
        <f t="shared" ref="D149:K149" si="24">D150*$C$11</f>
        <v>1200</v>
      </c>
      <c r="E149" s="6">
        <f t="shared" si="24"/>
        <v>1280</v>
      </c>
      <c r="F149" s="6">
        <f t="shared" si="24"/>
        <v>1360</v>
      </c>
      <c r="G149" s="6">
        <f t="shared" si="24"/>
        <v>1440</v>
      </c>
      <c r="H149" s="6">
        <f t="shared" si="24"/>
        <v>1520</v>
      </c>
      <c r="I149" s="6">
        <f t="shared" si="24"/>
        <v>1600</v>
      </c>
      <c r="J149" s="6">
        <f t="shared" si="24"/>
        <v>1680</v>
      </c>
      <c r="K149" s="6">
        <f t="shared" si="24"/>
        <v>1760</v>
      </c>
      <c r="L149" s="1" t="s">
        <v>27</v>
      </c>
    </row>
    <row r="150" spans="2:12" x14ac:dyDescent="0.2">
      <c r="B150" s="53">
        <f>H143</f>
        <v>0.14259102181258809</v>
      </c>
      <c r="C150" s="27">
        <v>7</v>
      </c>
      <c r="D150" s="27">
        <f t="shared" ref="D150:K150" si="25">C150+0.5</f>
        <v>7.5</v>
      </c>
      <c r="E150" s="27">
        <f t="shared" si="25"/>
        <v>8</v>
      </c>
      <c r="F150" s="27">
        <f t="shared" si="25"/>
        <v>8.5</v>
      </c>
      <c r="G150" s="27">
        <f t="shared" si="25"/>
        <v>9</v>
      </c>
      <c r="H150" s="27">
        <f t="shared" si="25"/>
        <v>9.5</v>
      </c>
      <c r="I150" s="27">
        <f t="shared" si="25"/>
        <v>10</v>
      </c>
      <c r="J150" s="27">
        <f t="shared" si="25"/>
        <v>10.5</v>
      </c>
      <c r="K150" s="27">
        <f t="shared" si="25"/>
        <v>11</v>
      </c>
      <c r="L150" s="1" t="s">
        <v>23</v>
      </c>
    </row>
    <row r="151" spans="2:12" x14ac:dyDescent="0.2">
      <c r="B151" s="54">
        <v>6</v>
      </c>
      <c r="C151" s="24">
        <f t="dataTable" ref="C151:K157" dt2D="1" dtr="1" r1="C12" r2="K11" ca="1"/>
        <v>0.12100939785734366</v>
      </c>
      <c r="D151" s="24">
        <v>7.7113756061272243E-2</v>
      </c>
      <c r="E151" s="24">
        <v>4.2246357462694784E-2</v>
      </c>
      <c r="F151" s="24">
        <v>1.3537851310122972E-2</v>
      </c>
      <c r="G151" s="24">
        <v>-1.1270812604609937E-2</v>
      </c>
      <c r="H151" s="24">
        <v>-3.33259447679215E-2</v>
      </c>
      <c r="I151" s="24">
        <v>-5.2723645367019678E-2</v>
      </c>
      <c r="J151" s="24">
        <v>-6.9997669531130291E-2</v>
      </c>
      <c r="K151" s="24">
        <v>-8.5538814698761678E-2</v>
      </c>
    </row>
    <row r="152" spans="2:12" x14ac:dyDescent="0.2">
      <c r="B152" s="54">
        <f t="shared" ref="B152:B157" si="26">B151+0.5</f>
        <v>6.5</v>
      </c>
      <c r="C152" s="24">
        <v>0.15729464083067279</v>
      </c>
      <c r="D152" s="24">
        <v>0.11177799635616559</v>
      </c>
      <c r="E152" s="24">
        <v>7.5596999958848388E-2</v>
      </c>
      <c r="F152" s="24">
        <v>4.5785771023838073E-2</v>
      </c>
      <c r="G152" s="24">
        <v>2.0576042676603956E-2</v>
      </c>
      <c r="H152" s="24">
        <v>-1.2252440055372515E-3</v>
      </c>
      <c r="I152" s="24">
        <v>-2.1267091180246722E-2</v>
      </c>
      <c r="J152" s="24">
        <v>-3.9114740215794641E-2</v>
      </c>
      <c r="K152" s="24">
        <v>-5.5171965904911802E-2</v>
      </c>
    </row>
    <row r="153" spans="2:12" x14ac:dyDescent="0.2">
      <c r="B153" s="54">
        <f t="shared" si="26"/>
        <v>7</v>
      </c>
      <c r="C153" s="24">
        <v>0.18952846048051941</v>
      </c>
      <c r="D153" s="24">
        <v>0.14259102181258809</v>
      </c>
      <c r="E153" s="24">
        <v>0.10526067308083675</v>
      </c>
      <c r="F153" s="24">
        <v>7.4486153354202944E-2</v>
      </c>
      <c r="G153" s="24">
        <v>4.8448185676585265E-2</v>
      </c>
      <c r="H153" s="24">
        <v>2.5979393623288605E-2</v>
      </c>
      <c r="I153" s="24">
        <v>6.2884693466005448E-3</v>
      </c>
      <c r="J153" s="24">
        <v>-1.1757000366094505E-2</v>
      </c>
      <c r="K153" s="24">
        <v>-2.827139760471542E-2</v>
      </c>
    </row>
    <row r="154" spans="2:12" x14ac:dyDescent="0.2">
      <c r="B154" s="54">
        <f t="shared" si="26"/>
        <v>7.5</v>
      </c>
      <c r="C154" s="24">
        <v>0.21860534996414893</v>
      </c>
      <c r="D154" s="24">
        <v>0.1703994048932933</v>
      </c>
      <c r="E154" s="24">
        <v>0.13204431696849883</v>
      </c>
      <c r="F154" s="24">
        <v>0.10041205704613287</v>
      </c>
      <c r="G154" s="24">
        <v>7.363749384259588E-2</v>
      </c>
      <c r="H154" s="24">
        <v>5.0523774094267893E-2</v>
      </c>
      <c r="I154" s="24">
        <v>3.0259572217506525E-2</v>
      </c>
      <c r="J154" s="24">
        <v>1.2270962342157299E-2</v>
      </c>
      <c r="K154" s="24">
        <v>-4.0568135755139068E-3</v>
      </c>
    </row>
    <row r="155" spans="2:12" x14ac:dyDescent="0.2">
      <c r="B155" s="54">
        <f t="shared" si="26"/>
        <v>8</v>
      </c>
      <c r="C155" s="24">
        <v>0.24514583496653453</v>
      </c>
      <c r="D155" s="24">
        <v>0.19579144051212394</v>
      </c>
      <c r="E155" s="24">
        <v>0.1565096431684212</v>
      </c>
      <c r="F155" s="24">
        <v>0.12410251909039638</v>
      </c>
      <c r="G155" s="24">
        <v>9.6663195499831822E-2</v>
      </c>
      <c r="H155" s="24">
        <v>7.2967990965706164E-2</v>
      </c>
      <c r="I155" s="24">
        <v>5.2187364247469725E-2</v>
      </c>
      <c r="J155" s="24">
        <v>3.3734482804899546E-2</v>
      </c>
      <c r="K155" s="24">
        <v>1.7179811877539919E-2</v>
      </c>
    </row>
    <row r="156" spans="2:12" x14ac:dyDescent="0.2">
      <c r="B156" s="54">
        <f t="shared" si="26"/>
        <v>8.5</v>
      </c>
      <c r="C156" s="24">
        <v>0.26959922341204789</v>
      </c>
      <c r="D156" s="24">
        <v>0.21919366956335629</v>
      </c>
      <c r="E156" s="24">
        <v>0.17906445929813297</v>
      </c>
      <c r="F156" s="24">
        <v>0.14594940058340078</v>
      </c>
      <c r="G156" s="24">
        <v>0.11790324453118606</v>
      </c>
      <c r="H156" s="24">
        <v>9.3677647983653189E-2</v>
      </c>
      <c r="I156" s="24">
        <v>7.2426327403925406E-2</v>
      </c>
      <c r="J156" s="24">
        <v>5.3550589282952865E-2</v>
      </c>
      <c r="K156" s="24">
        <v>3.6612204434171236E-2</v>
      </c>
    </row>
    <row r="157" spans="2:12" x14ac:dyDescent="0.2">
      <c r="B157" s="54">
        <f t="shared" si="26"/>
        <v>9</v>
      </c>
      <c r="C157" s="24">
        <v>0.29230201610279671</v>
      </c>
      <c r="D157" s="24">
        <v>0.24092588414342297</v>
      </c>
      <c r="E157" s="24">
        <v>0.2000148375967552</v>
      </c>
      <c r="F157" s="24">
        <v>0.16624711581259133</v>
      </c>
      <c r="G157" s="24">
        <v>0.13764190389906861</v>
      </c>
      <c r="H157" s="24">
        <v>0.1129280053873869</v>
      </c>
      <c r="I157" s="24">
        <v>9.1243623915012728E-2</v>
      </c>
      <c r="J157" s="24">
        <v>7.1979077308542916E-2</v>
      </c>
      <c r="K157" s="24">
        <v>5.4688082354824807E-2</v>
      </c>
    </row>
    <row r="158" spans="2:12" x14ac:dyDescent="0.2">
      <c r="B158" s="4" t="s">
        <v>101</v>
      </c>
    </row>
    <row r="161" spans="2:12" ht="15" x14ac:dyDescent="0.25">
      <c r="B161" s="51" t="s">
        <v>102</v>
      </c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2:12" x14ac:dyDescent="0.2">
      <c r="C162" s="6">
        <f>C163*$C$11</f>
        <v>1120</v>
      </c>
      <c r="D162" s="6">
        <f t="shared" ref="D162:K162" si="27">D163*$C$11</f>
        <v>1200</v>
      </c>
      <c r="E162" s="6">
        <f t="shared" si="27"/>
        <v>1280</v>
      </c>
      <c r="F162" s="6">
        <f t="shared" si="27"/>
        <v>1360</v>
      </c>
      <c r="G162" s="6">
        <f t="shared" si="27"/>
        <v>1440</v>
      </c>
      <c r="H162" s="6">
        <f t="shared" si="27"/>
        <v>1520</v>
      </c>
      <c r="I162" s="6">
        <f t="shared" si="27"/>
        <v>1600</v>
      </c>
      <c r="J162" s="6">
        <f t="shared" si="27"/>
        <v>1680</v>
      </c>
      <c r="K162" s="6">
        <f t="shared" si="27"/>
        <v>1760</v>
      </c>
      <c r="L162" s="1" t="s">
        <v>27</v>
      </c>
    </row>
    <row r="163" spans="2:12" x14ac:dyDescent="0.2">
      <c r="B163" s="53">
        <f>H143</f>
        <v>0.14259102181258809</v>
      </c>
      <c r="C163" s="27">
        <v>7</v>
      </c>
      <c r="D163" s="27">
        <f t="shared" ref="D163:K163" si="28">C163+0.5</f>
        <v>7.5</v>
      </c>
      <c r="E163" s="27">
        <f t="shared" si="28"/>
        <v>8</v>
      </c>
      <c r="F163" s="27">
        <f t="shared" si="28"/>
        <v>8.5</v>
      </c>
      <c r="G163" s="27">
        <f t="shared" si="28"/>
        <v>9</v>
      </c>
      <c r="H163" s="27">
        <f t="shared" si="28"/>
        <v>9.5</v>
      </c>
      <c r="I163" s="27">
        <f t="shared" si="28"/>
        <v>10</v>
      </c>
      <c r="J163" s="27">
        <f t="shared" si="28"/>
        <v>10.5</v>
      </c>
      <c r="K163" s="27">
        <f t="shared" si="28"/>
        <v>11</v>
      </c>
      <c r="L163" s="1" t="s">
        <v>23</v>
      </c>
    </row>
    <row r="164" spans="2:12" x14ac:dyDescent="0.2">
      <c r="B164" s="55">
        <v>0.01</v>
      </c>
      <c r="C164" s="24">
        <f t="dataTable" ref="C164:K172" dt2D="1" dtr="1" r1="C12" r2="G17"/>
        <v>0.12948343864771727</v>
      </c>
      <c r="D164" s="24">
        <v>8.5206958259658183E-2</v>
      </c>
      <c r="E164" s="24">
        <v>5.003070954112232E-2</v>
      </c>
      <c r="F164" s="24">
        <v>2.1062753843796411E-2</v>
      </c>
      <c r="G164" s="24">
        <v>-3.5932747066885762E-3</v>
      </c>
      <c r="H164" s="24">
        <v>-2.5819666215012083E-2</v>
      </c>
      <c r="I164" s="24">
        <v>-4.5367991053164469E-2</v>
      </c>
      <c r="J164" s="24">
        <v>-6.2776148989050151E-2</v>
      </c>
      <c r="K164" s="24">
        <v>-7.8437972025326208E-2</v>
      </c>
    </row>
    <row r="165" spans="2:12" x14ac:dyDescent="0.2">
      <c r="B165" s="55">
        <f t="shared" ref="B165:B172" si="29">B164+0.5%</f>
        <v>1.4999999999999999E-2</v>
      </c>
      <c r="C165" s="24">
        <v>0.13988399764842074</v>
      </c>
      <c r="D165" s="24">
        <v>9.5142045662342856E-2</v>
      </c>
      <c r="E165" s="24">
        <v>5.9588509728653483E-2</v>
      </c>
      <c r="F165" s="24">
        <v>3.0303766272018251E-2</v>
      </c>
      <c r="G165" s="24">
        <v>5.5471905357113993E-3</v>
      </c>
      <c r="H165" s="24">
        <v>-1.6615042224523813E-2</v>
      </c>
      <c r="I165" s="24">
        <v>-3.6348071037432095E-2</v>
      </c>
      <c r="J165" s="24">
        <v>-5.39207114029151E-2</v>
      </c>
      <c r="K165" s="24">
        <v>-6.9730516478096027E-2</v>
      </c>
    </row>
    <row r="166" spans="2:12" x14ac:dyDescent="0.2">
      <c r="B166" s="55">
        <f t="shared" si="29"/>
        <v>0.02</v>
      </c>
      <c r="C166" s="24">
        <v>0.15011377430456974</v>
      </c>
      <c r="D166" s="24">
        <v>0.10491598468247232</v>
      </c>
      <c r="E166" s="24">
        <v>6.8993175210897872E-2</v>
      </c>
      <c r="F166" s="24">
        <v>3.9398530782653873E-2</v>
      </c>
      <c r="G166" s="24">
        <v>1.4375177060534927E-2</v>
      </c>
      <c r="H166" s="24">
        <v>-7.5698787849995952E-3</v>
      </c>
      <c r="I166" s="24">
        <v>-2.7484411768129657E-2</v>
      </c>
      <c r="J166" s="24">
        <v>-4.5218685075944176E-2</v>
      </c>
      <c r="K166" s="24">
        <v>-6.1173908554895906E-2</v>
      </c>
    </row>
    <row r="167" spans="2:12" x14ac:dyDescent="0.2">
      <c r="B167" s="55">
        <f t="shared" si="29"/>
        <v>2.5000000000000001E-2</v>
      </c>
      <c r="C167" s="24">
        <v>0.16018363596754037</v>
      </c>
      <c r="D167" s="24">
        <v>0.114538962764831</v>
      </c>
      <c r="E167" s="24">
        <v>7.8254323949245919E-2</v>
      </c>
      <c r="F167" s="24">
        <v>4.8356173377604117E-2</v>
      </c>
      <c r="G167" s="24">
        <v>2.3071663873800219E-2</v>
      </c>
      <c r="H167" s="24">
        <v>1.263272479896882E-3</v>
      </c>
      <c r="I167" s="24">
        <v>-1.8766777947632818E-2</v>
      </c>
      <c r="J167" s="24">
        <v>-3.6660021355917616E-2</v>
      </c>
      <c r="K167" s="24">
        <v>-5.275826752519619E-2</v>
      </c>
    </row>
    <row r="168" spans="2:12" x14ac:dyDescent="0.2">
      <c r="B168" s="55">
        <f t="shared" si="29"/>
        <v>3.0000000000000002E-2</v>
      </c>
      <c r="C168" s="24">
        <v>0.1701034761149236</v>
      </c>
      <c r="D168" s="24">
        <v>0.124020260824383</v>
      </c>
      <c r="E168" s="24">
        <v>8.7380724048410352E-2</v>
      </c>
      <c r="F168" s="24">
        <v>5.718501930887343E-2</v>
      </c>
      <c r="G168" s="24">
        <v>3.1644585355210308E-2</v>
      </c>
      <c r="H168" s="24">
        <v>9.6117945414520012E-3</v>
      </c>
      <c r="I168" s="24">
        <v>-1.0185880457719176E-2</v>
      </c>
      <c r="J168" s="24">
        <v>-2.8235600515996939E-2</v>
      </c>
      <c r="K168" s="24">
        <v>-4.4474626060699629E-2</v>
      </c>
    </row>
    <row r="169" spans="2:12" x14ac:dyDescent="0.2">
      <c r="B169" s="55">
        <f t="shared" si="29"/>
        <v>3.5000000000000003E-2</v>
      </c>
      <c r="C169" s="24">
        <v>0.17988232771770596</v>
      </c>
      <c r="D169" s="24">
        <v>0.13336835803483904</v>
      </c>
      <c r="E169" s="24">
        <v>9.6380391307114399E-2</v>
      </c>
      <c r="F169" s="24">
        <v>6.5892684351066766E-2</v>
      </c>
      <c r="G169" s="24">
        <v>4.0101204280188041E-2</v>
      </c>
      <c r="H169" s="24">
        <v>1.7848375510465253E-2</v>
      </c>
      <c r="I169" s="24">
        <v>-1.7332627577676396E-3</v>
      </c>
      <c r="J169" s="24">
        <v>-1.9937120224505778E-2</v>
      </c>
      <c r="K169" s="24">
        <v>-3.6314820568889683E-2</v>
      </c>
    </row>
    <row r="170" spans="2:12" x14ac:dyDescent="0.2">
      <c r="B170" s="55">
        <f t="shared" si="29"/>
        <v>0.04</v>
      </c>
      <c r="C170" s="24">
        <v>0.18952846048051941</v>
      </c>
      <c r="D170" s="24">
        <v>0.14259102181258809</v>
      </c>
      <c r="E170" s="24">
        <v>0.10526067308083675</v>
      </c>
      <c r="F170" s="24">
        <v>7.4486153354202944E-2</v>
      </c>
      <c r="G170" s="24">
        <v>4.8448185676585265E-2</v>
      </c>
      <c r="H170" s="24">
        <v>2.5979393623288605E-2</v>
      </c>
      <c r="I170" s="24">
        <v>6.2884693466005448E-3</v>
      </c>
      <c r="J170" s="24">
        <v>-1.1757000366094505E-2</v>
      </c>
      <c r="K170" s="24">
        <v>-2.827139760471542E-2</v>
      </c>
    </row>
    <row r="171" spans="2:12" x14ac:dyDescent="0.2">
      <c r="B171" s="55">
        <f t="shared" si="29"/>
        <v>4.4999999999999998E-2</v>
      </c>
      <c r="C171" s="24">
        <v>0.19904946464409745</v>
      </c>
      <c r="D171" s="24">
        <v>0.15169538544820571</v>
      </c>
      <c r="E171" s="24">
        <v>0.11402832070878555</v>
      </c>
      <c r="F171" s="24">
        <v>8.2971848155811045E-2</v>
      </c>
      <c r="G171" s="24">
        <v>5.669166074300791E-2</v>
      </c>
      <c r="H171" s="24">
        <v>3.4010719487859387E-2</v>
      </c>
      <c r="I171" s="24">
        <v>1.4131154225923259E-2</v>
      </c>
      <c r="J171" s="24">
        <v>-3.6883014065661746E-3</v>
      </c>
      <c r="K171" s="24">
        <v>-2.0337533599612101E-2</v>
      </c>
    </row>
    <row r="172" spans="2:12" x14ac:dyDescent="0.2">
      <c r="B172" s="55">
        <f t="shared" si="29"/>
        <v>4.9999999999999996E-2</v>
      </c>
      <c r="C172" s="24">
        <v>0.20845232352837373</v>
      </c>
      <c r="D172" s="24">
        <v>0.16068801537506916</v>
      </c>
      <c r="E172" s="24">
        <v>0.12268955233509082</v>
      </c>
      <c r="F172" s="24">
        <v>9.135568654407189E-2</v>
      </c>
      <c r="G172" s="24">
        <v>6.4837282398672702E-2</v>
      </c>
      <c r="H172" s="24">
        <v>4.1947768570220978E-2</v>
      </c>
      <c r="I172" s="24">
        <v>2.188280146840671E-2</v>
      </c>
      <c r="J172" s="24">
        <v>4.0734028993638649E-3</v>
      </c>
      <c r="K172" s="24">
        <v>-1.2506965686537752E-2</v>
      </c>
    </row>
    <row r="173" spans="2:12" x14ac:dyDescent="0.2">
      <c r="B173" s="56" t="s">
        <v>34</v>
      </c>
    </row>
    <row r="174" spans="2:12" x14ac:dyDescent="0.2">
      <c r="B174" s="24"/>
    </row>
    <row r="176" spans="2:12" ht="15" x14ac:dyDescent="0.25">
      <c r="B176" s="51" t="s">
        <v>103</v>
      </c>
      <c r="C176" s="52"/>
      <c r="D176" s="52"/>
      <c r="E176" s="52"/>
      <c r="F176" s="52"/>
      <c r="G176" s="52"/>
      <c r="H176" s="52"/>
      <c r="I176" s="52"/>
      <c r="J176" s="52"/>
      <c r="K176" s="52"/>
    </row>
    <row r="177" spans="2:12" x14ac:dyDescent="0.2">
      <c r="B177" s="53">
        <f>H143</f>
        <v>0.14259102181258809</v>
      </c>
      <c r="C177" s="57">
        <v>10</v>
      </c>
      <c r="D177" s="57">
        <f t="shared" ref="D177:K177" si="30">C177+5</f>
        <v>15</v>
      </c>
      <c r="E177" s="57">
        <f t="shared" si="30"/>
        <v>20</v>
      </c>
      <c r="F177" s="57">
        <f t="shared" si="30"/>
        <v>25</v>
      </c>
      <c r="G177" s="57">
        <f t="shared" si="30"/>
        <v>30</v>
      </c>
      <c r="H177" s="57">
        <f t="shared" si="30"/>
        <v>35</v>
      </c>
      <c r="I177" s="57">
        <f t="shared" si="30"/>
        <v>40</v>
      </c>
      <c r="J177" s="57">
        <f t="shared" si="30"/>
        <v>45</v>
      </c>
      <c r="K177" s="57">
        <f t="shared" si="30"/>
        <v>50</v>
      </c>
      <c r="L177" s="1" t="s">
        <v>36</v>
      </c>
    </row>
    <row r="178" spans="2:12" x14ac:dyDescent="0.2">
      <c r="B178" s="55">
        <v>0.01</v>
      </c>
      <c r="C178" s="24">
        <f t="dataTable" ref="C178:K186" dt2D="1" dtr="1" r1="G17" r2="G18" ca="1"/>
        <v>12.356810439228402</v>
      </c>
      <c r="D178" s="24">
        <v>18.426249269941088</v>
      </c>
      <c r="E178" s="24">
        <v>24.495680521030859</v>
      </c>
      <c r="F178" s="24">
        <v>30.565110411821056</v>
      </c>
      <c r="G178" s="24">
        <v>36.634539911101655</v>
      </c>
      <c r="H178" s="24">
        <v>42.703969259283262</v>
      </c>
      <c r="I178" s="24">
        <v>48.773398536173573</v>
      </c>
      <c r="J178" s="24">
        <v>54.842827774228944</v>
      </c>
      <c r="K178" s="24">
        <v>60.912256988785103</v>
      </c>
    </row>
    <row r="179" spans="2:12" x14ac:dyDescent="0.2">
      <c r="B179" s="55">
        <f t="shared" ref="B179:B186" si="31">B178+0.5%</f>
        <v>1.4999999999999999E-2</v>
      </c>
      <c r="C179" s="24">
        <v>12.356810439767706</v>
      </c>
      <c r="D179" s="24">
        <v>18.426249270061614</v>
      </c>
      <c r="E179" s="24">
        <v>24.495680521071471</v>
      </c>
      <c r="F179" s="24">
        <v>30.565110411838354</v>
      </c>
      <c r="G179" s="24">
        <v>36.63453991111021</v>
      </c>
      <c r="H179" s="24">
        <v>42.70396925928798</v>
      </c>
      <c r="I179" s="24">
        <v>48.773398536176359</v>
      </c>
      <c r="J179" s="24">
        <v>54.842827774230734</v>
      </c>
      <c r="K179" s="24">
        <v>60.912256988786311</v>
      </c>
    </row>
    <row r="180" spans="2:12" x14ac:dyDescent="0.2">
      <c r="B180" s="55">
        <f t="shared" si="31"/>
        <v>0.02</v>
      </c>
      <c r="C180" s="24">
        <v>12.356810440307008</v>
      </c>
      <c r="D180" s="24">
        <v>18.426249270182144</v>
      </c>
      <c r="E180" s="24">
        <v>24.495680521112096</v>
      </c>
      <c r="F180" s="24">
        <v>30.565110411855652</v>
      </c>
      <c r="G180" s="24">
        <v>36.634539911118765</v>
      </c>
      <c r="H180" s="24">
        <v>42.703969259292656</v>
      </c>
      <c r="I180" s="24">
        <v>48.773398536179165</v>
      </c>
      <c r="J180" s="24">
        <v>54.842827774232468</v>
      </c>
      <c r="K180" s="24">
        <v>60.912256988787462</v>
      </c>
    </row>
    <row r="181" spans="2:12" x14ac:dyDescent="0.2">
      <c r="B181" s="55">
        <f t="shared" si="31"/>
        <v>2.5000000000000001E-2</v>
      </c>
      <c r="C181" s="24">
        <v>12.35681044084631</v>
      </c>
      <c r="D181" s="24">
        <v>18.42624927030268</v>
      </c>
      <c r="E181" s="24">
        <v>24.495680521152721</v>
      </c>
      <c r="F181" s="24">
        <v>30.565110411872933</v>
      </c>
      <c r="G181" s="24">
        <v>36.634539911127327</v>
      </c>
      <c r="H181" s="24">
        <v>42.703969259297395</v>
      </c>
      <c r="I181" s="24">
        <v>48.773398536181951</v>
      </c>
      <c r="J181" s="24">
        <v>54.842827774234202</v>
      </c>
      <c r="K181" s="24">
        <v>60.91225698878862</v>
      </c>
    </row>
    <row r="182" spans="2:12" x14ac:dyDescent="0.2">
      <c r="B182" s="55">
        <f t="shared" si="31"/>
        <v>3.0000000000000002E-2</v>
      </c>
      <c r="C182" s="24">
        <v>12.356810441385614</v>
      </c>
      <c r="D182" s="24">
        <v>18.426249270423206</v>
      </c>
      <c r="E182" s="24">
        <v>24.495680521193346</v>
      </c>
      <c r="F182" s="24">
        <v>30.565110411890231</v>
      </c>
      <c r="G182" s="24">
        <v>36.634539911135882</v>
      </c>
      <c r="H182" s="24">
        <v>42.703969259302113</v>
      </c>
      <c r="I182" s="24">
        <v>48.773398536184736</v>
      </c>
      <c r="J182" s="24">
        <v>54.842827774235992</v>
      </c>
      <c r="K182" s="24">
        <v>60.912256988789828</v>
      </c>
    </row>
    <row r="183" spans="2:12" x14ac:dyDescent="0.2">
      <c r="B183" s="55">
        <f t="shared" si="31"/>
        <v>3.5000000000000003E-2</v>
      </c>
      <c r="C183" s="24">
        <v>12.356810441924921</v>
      </c>
      <c r="D183" s="24">
        <v>18.426249270543725</v>
      </c>
      <c r="E183" s="24">
        <v>24.495680521233972</v>
      </c>
      <c r="F183" s="24">
        <v>30.565110411907515</v>
      </c>
      <c r="G183" s="24">
        <v>36.634539911144437</v>
      </c>
      <c r="H183" s="24">
        <v>42.703969259306788</v>
      </c>
      <c r="I183" s="24">
        <v>48.773398536187543</v>
      </c>
      <c r="J183" s="24">
        <v>54.842827774237726</v>
      </c>
      <c r="K183" s="24">
        <v>60.912256988790986</v>
      </c>
    </row>
    <row r="184" spans="2:12" x14ac:dyDescent="0.2">
      <c r="B184" s="55">
        <f t="shared" si="31"/>
        <v>0.04</v>
      </c>
      <c r="C184" s="24">
        <v>12.356810442464223</v>
      </c>
      <c r="D184" s="24">
        <v>18.426249270664254</v>
      </c>
      <c r="E184" s="24">
        <v>24.495680521274597</v>
      </c>
      <c r="F184" s="24">
        <v>30.565110411924813</v>
      </c>
      <c r="G184" s="24">
        <v>36.634539911152999</v>
      </c>
      <c r="H184" s="24">
        <v>42.703969259311521</v>
      </c>
      <c r="I184" s="24">
        <v>48.773398536190328</v>
      </c>
      <c r="J184" s="24">
        <v>54.84282777423951</v>
      </c>
      <c r="K184" s="24">
        <v>60.912256988792137</v>
      </c>
    </row>
    <row r="185" spans="2:12" x14ac:dyDescent="0.2">
      <c r="B185" s="55">
        <f t="shared" si="31"/>
        <v>4.4999999999999998E-2</v>
      </c>
      <c r="C185" s="24">
        <v>12.356810443003527</v>
      </c>
      <c r="D185" s="24">
        <v>18.42624927078479</v>
      </c>
      <c r="E185" s="24">
        <v>24.495680521315219</v>
      </c>
      <c r="F185" s="24">
        <v>30.565110411942111</v>
      </c>
      <c r="G185" s="24">
        <v>36.634539911161554</v>
      </c>
      <c r="H185" s="24">
        <v>42.703969259316203</v>
      </c>
      <c r="I185" s="24">
        <v>48.773398536193135</v>
      </c>
      <c r="J185" s="24">
        <v>54.8428277742413</v>
      </c>
      <c r="K185" s="24">
        <v>60.912256988793295</v>
      </c>
    </row>
    <row r="186" spans="2:12" x14ac:dyDescent="0.2">
      <c r="B186" s="55">
        <f t="shared" si="31"/>
        <v>4.9999999999999996E-2</v>
      </c>
      <c r="C186" s="24">
        <v>12.356810443542829</v>
      </c>
      <c r="D186" s="24">
        <v>18.426249270905316</v>
      </c>
      <c r="E186" s="24">
        <v>24.495680521355844</v>
      </c>
      <c r="F186" s="24">
        <v>30.565110411959395</v>
      </c>
      <c r="G186" s="24">
        <v>36.634539911170108</v>
      </c>
      <c r="H186" s="24">
        <v>42.7039692593209</v>
      </c>
      <c r="I186" s="24">
        <v>48.77339853619592</v>
      </c>
      <c r="J186" s="24">
        <v>54.842827774243084</v>
      </c>
      <c r="K186" s="24">
        <v>60.912256988794503</v>
      </c>
    </row>
    <row r="187" spans="2:12" x14ac:dyDescent="0.2">
      <c r="B187" s="56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Prompt</vt:lpstr>
      <vt:lpstr>Response</vt:lpstr>
      <vt:lpstr>Example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2025-03-11T00:57:57Z</dcterms:created>
  <dcterms:modified xsi:type="dcterms:W3CDTF">2025-04-29T13:12:42Z</dcterms:modified>
</cp:coreProperties>
</file>