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ens\OneDrive - Weston Nurseries\Desktop\Lauren\EJ\"/>
    </mc:Choice>
  </mc:AlternateContent>
  <xr:revisionPtr revIDLastSave="0" documentId="8_{2E7AE742-DA1C-4A64-AA1D-CE39C6A26CFC}" xr6:coauthVersionLast="47" xr6:coauthVersionMax="47" xr10:uidLastSave="{00000000-0000-0000-0000-000000000000}"/>
  <bookViews>
    <workbookView xWindow="1950" yWindow="1275" windowWidth="14835" windowHeight="14925" activeTab="2" xr2:uid="{6DB7922D-74C3-44F3-A66D-730FFC724C29}"/>
  </bookViews>
  <sheets>
    <sheet name="Prompt" sheetId="1" r:id="rId1"/>
    <sheet name="Response" sheetId="2" r:id="rId2"/>
    <sheet name="Example Answer" sheetId="3" r:id="rId3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8" i="3" l="1"/>
  <c r="E105" i="3"/>
  <c r="F105" i="3" s="1"/>
  <c r="G105" i="3" s="1"/>
  <c r="H105" i="3" s="1"/>
  <c r="D82" i="3"/>
  <c r="E82" i="3" s="1"/>
  <c r="F82" i="3" s="1"/>
  <c r="G82" i="3" s="1"/>
  <c r="H82" i="3" s="1"/>
  <c r="D78" i="3" l="1"/>
  <c r="E78" i="3" s="1"/>
  <c r="F78" i="3" s="1"/>
  <c r="G78" i="3" s="1"/>
  <c r="H78" i="3" s="1"/>
  <c r="E76" i="3"/>
  <c r="F76" i="3" s="1"/>
  <c r="G76" i="3" s="1"/>
  <c r="H76" i="3" s="1"/>
  <c r="C61" i="3"/>
  <c r="E56" i="3"/>
  <c r="F56" i="3" s="1"/>
  <c r="G56" i="3" s="1"/>
  <c r="H56" i="3" s="1"/>
  <c r="C58" i="3"/>
  <c r="C45" i="3"/>
  <c r="C42" i="3"/>
  <c r="D40" i="3"/>
  <c r="E40" i="3" s="1"/>
  <c r="F40" i="3" s="1"/>
  <c r="G40" i="3" s="1"/>
  <c r="H40" i="3" s="1"/>
  <c r="C39" i="3"/>
  <c r="E38" i="3"/>
  <c r="F38" i="3" s="1"/>
  <c r="G38" i="3" s="1"/>
  <c r="H38" i="3" s="1"/>
  <c r="D31" i="3"/>
  <c r="C31" i="3" s="1"/>
  <c r="D94" i="3" s="1"/>
  <c r="D30" i="3"/>
  <c r="C30" i="3" s="1"/>
  <c r="D86" i="3" s="1"/>
  <c r="H31" i="3"/>
  <c r="B31" i="3"/>
  <c r="B30" i="3"/>
  <c r="C13" i="3"/>
  <c r="C15" i="3" s="1"/>
  <c r="B12" i="1"/>
  <c r="B13" i="1" s="1"/>
  <c r="B14" i="1" s="1"/>
  <c r="B15" i="1" s="1"/>
  <c r="B16" i="1" s="1"/>
  <c r="B17" i="1" s="1"/>
  <c r="B18" i="1" s="1"/>
  <c r="B19" i="1" s="1"/>
  <c r="B20" i="1" s="1"/>
  <c r="B21" i="1" s="1"/>
  <c r="C62" i="3" l="1"/>
  <c r="D62" i="3" s="1"/>
  <c r="E62" i="3" s="1"/>
  <c r="I31" i="3"/>
  <c r="D80" i="3"/>
  <c r="D99" i="3" s="1"/>
  <c r="C59" i="3"/>
  <c r="D59" i="3" s="1"/>
  <c r="D39" i="3"/>
  <c r="E39" i="3" s="1"/>
  <c r="F39" i="3" s="1"/>
  <c r="G39" i="3" s="1"/>
  <c r="H39" i="3" s="1"/>
  <c r="C43" i="3"/>
  <c r="D43" i="3" s="1"/>
  <c r="E43" i="3" s="1"/>
  <c r="C46" i="3"/>
  <c r="D46" i="3" s="1"/>
  <c r="E46" i="3" s="1"/>
  <c r="D42" i="3"/>
  <c r="D66" i="3" s="1"/>
  <c r="H30" i="3"/>
  <c r="J19" i="3"/>
  <c r="H32" i="3" s="1"/>
  <c r="C48" i="3"/>
  <c r="D58" i="3" l="1"/>
  <c r="D69" i="3" s="1"/>
  <c r="E59" i="3"/>
  <c r="E58" i="3" s="1"/>
  <c r="E69" i="3" s="1"/>
  <c r="E61" i="3"/>
  <c r="D61" i="3"/>
  <c r="F62" i="3"/>
  <c r="F61" i="3" s="1"/>
  <c r="D45" i="3"/>
  <c r="D48" i="3" s="1"/>
  <c r="F59" i="3"/>
  <c r="F58" i="3" s="1"/>
  <c r="F69" i="3" s="1"/>
  <c r="F46" i="3"/>
  <c r="E45" i="3"/>
  <c r="I32" i="3"/>
  <c r="H33" i="3"/>
  <c r="J30" i="3" s="1"/>
  <c r="I30" i="3"/>
  <c r="F43" i="3"/>
  <c r="E42" i="3"/>
  <c r="E63" i="3" l="1"/>
  <c r="E70" i="3" s="1"/>
  <c r="D63" i="3"/>
  <c r="D70" i="3" s="1"/>
  <c r="F63" i="3"/>
  <c r="F70" i="3" s="1"/>
  <c r="G62" i="3"/>
  <c r="G61" i="3" s="1"/>
  <c r="G59" i="3"/>
  <c r="G58" i="3" s="1"/>
  <c r="G69" i="3" s="1"/>
  <c r="E48" i="3"/>
  <c r="E66" i="3"/>
  <c r="G43" i="3"/>
  <c r="F42" i="3"/>
  <c r="F66" i="3" s="1"/>
  <c r="I33" i="3"/>
  <c r="C33" i="3"/>
  <c r="J33" i="3"/>
  <c r="J31" i="3"/>
  <c r="J32" i="3"/>
  <c r="G46" i="3"/>
  <c r="F45" i="3"/>
  <c r="G63" i="3" l="1"/>
  <c r="G70" i="3" s="1"/>
  <c r="H62" i="3"/>
  <c r="H61" i="3" s="1"/>
  <c r="H63" i="3" s="1"/>
  <c r="H70" i="3" s="1"/>
  <c r="H59" i="3"/>
  <c r="H58" i="3" s="1"/>
  <c r="H69" i="3" s="1"/>
  <c r="H46" i="3"/>
  <c r="H45" i="3" s="1"/>
  <c r="G45" i="3"/>
  <c r="D33" i="3"/>
  <c r="E33" i="3"/>
  <c r="C32" i="3"/>
  <c r="H126" i="3" s="1"/>
  <c r="E31" i="3"/>
  <c r="E30" i="3"/>
  <c r="F48" i="3"/>
  <c r="G42" i="3"/>
  <c r="H43" i="3"/>
  <c r="H42" i="3" s="1"/>
  <c r="H48" i="3" l="1"/>
  <c r="H66" i="3"/>
  <c r="H117" i="3" s="1"/>
  <c r="H119" i="3" s="1"/>
  <c r="G48" i="3"/>
  <c r="G66" i="3"/>
  <c r="E32" i="3"/>
  <c r="D32" i="3"/>
  <c r="D49" i="3"/>
  <c r="E49" i="3"/>
  <c r="F49" i="3"/>
  <c r="G49" i="3"/>
  <c r="H49" i="3"/>
  <c r="D50" i="3"/>
  <c r="E50" i="3"/>
  <c r="F50" i="3"/>
  <c r="G50" i="3"/>
  <c r="H50" i="3"/>
  <c r="D51" i="3"/>
  <c r="E51" i="3"/>
  <c r="F51" i="3"/>
  <c r="G51" i="3"/>
  <c r="H51" i="3"/>
  <c r="D52" i="3"/>
  <c r="E52" i="3"/>
  <c r="F52" i="3"/>
  <c r="G52" i="3"/>
  <c r="H52" i="3"/>
  <c r="D67" i="3"/>
  <c r="E67" i="3"/>
  <c r="F67" i="3"/>
  <c r="G67" i="3"/>
  <c r="H67" i="3"/>
  <c r="D68" i="3"/>
  <c r="E68" i="3"/>
  <c r="F68" i="3"/>
  <c r="G68" i="3"/>
  <c r="H68" i="3"/>
  <c r="D71" i="3"/>
  <c r="E71" i="3"/>
  <c r="F71" i="3"/>
  <c r="G71" i="3"/>
  <c r="H71" i="3"/>
  <c r="E80" i="3"/>
  <c r="F80" i="3"/>
  <c r="G80" i="3"/>
  <c r="H80" i="3"/>
  <c r="D81" i="3"/>
  <c r="E81" i="3"/>
  <c r="F81" i="3"/>
  <c r="G81" i="3"/>
  <c r="H81" i="3"/>
  <c r="D83" i="3"/>
  <c r="E83" i="3"/>
  <c r="F83" i="3"/>
  <c r="G83" i="3"/>
  <c r="H83" i="3"/>
  <c r="E86" i="3"/>
  <c r="F86" i="3"/>
  <c r="G86" i="3"/>
  <c r="H86" i="3"/>
  <c r="D87" i="3"/>
  <c r="E87" i="3"/>
  <c r="F87" i="3"/>
  <c r="G87" i="3"/>
  <c r="H87" i="3"/>
  <c r="D88" i="3"/>
  <c r="E88" i="3"/>
  <c r="F88" i="3"/>
  <c r="G88" i="3"/>
  <c r="H88" i="3"/>
  <c r="D89" i="3"/>
  <c r="E89" i="3"/>
  <c r="F89" i="3"/>
  <c r="G89" i="3"/>
  <c r="H89" i="3"/>
  <c r="D91" i="3"/>
  <c r="E91" i="3"/>
  <c r="F91" i="3"/>
  <c r="G91" i="3"/>
  <c r="H91" i="3"/>
  <c r="E94" i="3"/>
  <c r="F94" i="3"/>
  <c r="G94" i="3"/>
  <c r="H94" i="3"/>
  <c r="D95" i="3"/>
  <c r="E95" i="3"/>
  <c r="F95" i="3"/>
  <c r="G95" i="3"/>
  <c r="H95" i="3"/>
  <c r="D96" i="3"/>
  <c r="E96" i="3"/>
  <c r="F96" i="3"/>
  <c r="G96" i="3"/>
  <c r="H96" i="3"/>
  <c r="D97" i="3"/>
  <c r="E97" i="3"/>
  <c r="F97" i="3"/>
  <c r="G97" i="3"/>
  <c r="H97" i="3"/>
  <c r="E99" i="3"/>
  <c r="F99" i="3"/>
  <c r="G99" i="3"/>
  <c r="H99" i="3"/>
  <c r="D100" i="3"/>
  <c r="E100" i="3"/>
  <c r="F100" i="3"/>
  <c r="G100" i="3"/>
  <c r="H100" i="3"/>
  <c r="D101" i="3"/>
  <c r="E101" i="3"/>
  <c r="F101" i="3"/>
  <c r="G101" i="3"/>
  <c r="H101" i="3"/>
  <c r="D107" i="3"/>
  <c r="E107" i="3"/>
  <c r="F107" i="3"/>
  <c r="G107" i="3"/>
  <c r="H107" i="3"/>
  <c r="D108" i="3"/>
  <c r="E108" i="3"/>
  <c r="F108" i="3"/>
  <c r="G108" i="3"/>
  <c r="H108" i="3"/>
  <c r="D110" i="3"/>
  <c r="E110" i="3"/>
  <c r="F110" i="3"/>
  <c r="G110" i="3"/>
  <c r="H110" i="3"/>
  <c r="D111" i="3"/>
  <c r="E111" i="3"/>
  <c r="F111" i="3"/>
  <c r="G111" i="3"/>
  <c r="H111" i="3"/>
  <c r="D113" i="3"/>
  <c r="E113" i="3"/>
  <c r="F113" i="3"/>
  <c r="G113" i="3"/>
  <c r="H113" i="3"/>
  <c r="H120" i="3"/>
  <c r="H121" i="3"/>
  <c r="H122" i="3"/>
  <c r="H123" i="3"/>
  <c r="H124" i="3"/>
  <c r="H128" i="3"/>
  <c r="H129" i="3"/>
</calcChain>
</file>

<file path=xl/sharedStrings.xml><?xml version="1.0" encoding="utf-8"?>
<sst xmlns="http://schemas.openxmlformats.org/spreadsheetml/2006/main" count="142" uniqueCount="103">
  <si>
    <t>Bob's Furniture Store is a public company trading at $15/share with 25 million fully diluted shares outstanding</t>
  </si>
  <si>
    <t xml:space="preserve">After running some premiums analysis, we believe the company can be taken private with a 15% premium. </t>
  </si>
  <si>
    <t>To sweeten the deal, the buyer would like to include a 5% management option pool to incentivize the management team to drive performance</t>
  </si>
  <si>
    <t>Bob believes he can grow revenye by 5% annually, and expand margins 25bps per year</t>
  </si>
  <si>
    <t>D&amp;A, CapEx, and NWC are expected to remain the same % of sales</t>
  </si>
  <si>
    <t>The marginal tax rate to use is about U.S. corporate tax rate of 25%</t>
  </si>
  <si>
    <t>Minimum cash to fund the operations is $15mm</t>
  </si>
  <si>
    <t>To finance the acquisition, debt advisors have suggested it can be funded with 3.0x bank debt priced at SOFR +175 and 1.5x Senior Notes with a 16% coupon</t>
  </si>
  <si>
    <t>For purposes of the exercise, the forward SOFR curve remains at 4.5% through the forecast period</t>
  </si>
  <si>
    <t>The entry LTM Entry TEV / EBITDA multiple should equal the exit TEV/EBITDA multiple</t>
  </si>
  <si>
    <t>Fees in the transaction are 1% of TEV</t>
  </si>
  <si>
    <t>Overview</t>
  </si>
  <si>
    <t>LTM Financials</t>
  </si>
  <si>
    <t>Revenue</t>
  </si>
  <si>
    <t>EBITDA</t>
  </si>
  <si>
    <t>D&amp;A</t>
  </si>
  <si>
    <t>Capex</t>
  </si>
  <si>
    <t>NWC</t>
  </si>
  <si>
    <t>Please complete the following</t>
  </si>
  <si>
    <t>Levereaged buyout analysis including IRR sensitivities</t>
  </si>
  <si>
    <t>x</t>
  </si>
  <si>
    <t>Assumptions</t>
  </si>
  <si>
    <t>Equity Value</t>
  </si>
  <si>
    <t>Share Price</t>
  </si>
  <si>
    <t>Financing</t>
  </si>
  <si>
    <t>Takeout Premium</t>
  </si>
  <si>
    <t>Takeout Price</t>
  </si>
  <si>
    <t>Purchase Equity</t>
  </si>
  <si>
    <t>Bank Debt</t>
  </si>
  <si>
    <t>Tranch</t>
  </si>
  <si>
    <t>xEBITDA</t>
  </si>
  <si>
    <t>Cost</t>
  </si>
  <si>
    <t>Sr. Notes</t>
  </si>
  <si>
    <t>Additional Assumptions</t>
  </si>
  <si>
    <t>Fees &amp; Expenses ($)</t>
  </si>
  <si>
    <t>Fees &amp; Expenses % of Equity Value</t>
  </si>
  <si>
    <t>Sources &amp; Uses</t>
  </si>
  <si>
    <t>Sources</t>
  </si>
  <si>
    <t>% of Total</t>
  </si>
  <si>
    <t>Uses</t>
  </si>
  <si>
    <t>Purchase Equity Value</t>
  </si>
  <si>
    <t>$ Amount</t>
  </si>
  <si>
    <t>Min Cash</t>
  </si>
  <si>
    <t>Fees &amp; Expenses</t>
  </si>
  <si>
    <t>Total Uses</t>
  </si>
  <si>
    <t>Total Sources</t>
  </si>
  <si>
    <t>Sponsor Equity</t>
  </si>
  <si>
    <t>Operating Model</t>
  </si>
  <si>
    <t>LTM</t>
  </si>
  <si>
    <t>Growth</t>
  </si>
  <si>
    <t>Revenue Growth</t>
  </si>
  <si>
    <t>Margin</t>
  </si>
  <si>
    <t>EBITDA Margin Growth</t>
  </si>
  <si>
    <t>% of Sales</t>
  </si>
  <si>
    <t>EBIT</t>
  </si>
  <si>
    <t>Interest</t>
  </si>
  <si>
    <t>EBT</t>
  </si>
  <si>
    <t>Taxes</t>
  </si>
  <si>
    <t>Net Income</t>
  </si>
  <si>
    <t>Tax Rate</t>
  </si>
  <si>
    <t>Levered Free Cash Flow</t>
  </si>
  <si>
    <t>Less: Interest</t>
  </si>
  <si>
    <t>Less: Taxes</t>
  </si>
  <si>
    <t>Less: CapEx</t>
  </si>
  <si>
    <t>Less: Change in NWC</t>
  </si>
  <si>
    <t>Other Cash Flow Items</t>
  </si>
  <si>
    <t>CapEx</t>
  </si>
  <si>
    <t>Debt Schedule</t>
  </si>
  <si>
    <t>SOFR Curve</t>
  </si>
  <si>
    <t>Beginning Cash</t>
  </si>
  <si>
    <t>Plus: Levered Free Cash Flow</t>
  </si>
  <si>
    <t>Less: Min Cash</t>
  </si>
  <si>
    <t>Discretionary Cash for Debt Paydown</t>
  </si>
  <si>
    <t>Beginning Balance</t>
  </si>
  <si>
    <t>Draw / (Paydown)</t>
  </si>
  <si>
    <t>Ending Balance</t>
  </si>
  <si>
    <t>Cash Available after Bank Debt Paydown</t>
  </si>
  <si>
    <t>Change in Cash</t>
  </si>
  <si>
    <t>Ending Cash</t>
  </si>
  <si>
    <t>Credit Stats</t>
  </si>
  <si>
    <t>Total Leverage</t>
  </si>
  <si>
    <t>Net Leverage</t>
  </si>
  <si>
    <t>Interest Coverage Ratio</t>
  </si>
  <si>
    <t>Returns Analysis</t>
  </si>
  <si>
    <t>Exit EBITDA</t>
  </si>
  <si>
    <t>Exit Multiple</t>
  </si>
  <si>
    <t>Less: Net Debt</t>
  </si>
  <si>
    <t>Exit TEV</t>
  </si>
  <si>
    <t>Exit Equity Value</t>
  </si>
  <si>
    <t>Plus: Cash From Management Options</t>
  </si>
  <si>
    <t>Management Option Pool</t>
  </si>
  <si>
    <t>Less: Equity Paid to Management Options</t>
  </si>
  <si>
    <t>Sponsor Exit Equity Value</t>
  </si>
  <si>
    <t>Memo: Sponsor Equity at Entry</t>
  </si>
  <si>
    <t>MOIC</t>
  </si>
  <si>
    <t>IRR</t>
  </si>
  <si>
    <t>FDSO (mm)</t>
  </si>
  <si>
    <t>Total Debt</t>
  </si>
  <si>
    <t>Total Interest</t>
  </si>
  <si>
    <t>Change in NWC</t>
  </si>
  <si>
    <t xml:space="preserve"> </t>
  </si>
  <si>
    <t>Prompt</t>
  </si>
  <si>
    <t>Basic LBO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</si>
</sst>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7" formatCode="&quot;$&quot;#,##0.00_);\(&quot;$&quot;#,##0.00\)"/>
    <numFmt numFmtId="164" formatCode="&quot;$&quot;0.00"/>
    <numFmt numFmtId="165" formatCode="&quot;$&quot;#,##0.00"/>
    <numFmt numFmtId="166" formatCode="&quot;SOFR+&quot;0"/>
    <numFmt numFmtId="167" formatCode="0.0\x"/>
    <numFmt numFmtId="168" formatCode="&quot;$&quot;#,##0.0_);\(&quot;$&quot;#,##0.0\)"/>
    <numFmt numFmtId="169" formatCode="&quot;Year&quot;\ 0"/>
    <numFmt numFmtId="170" formatCode="\2\5&quot;bps&quot;"/>
    <numFmt numFmtId="171" formatCode="0.0%"/>
    <numFmt numFmtId="172" formatCode="0.0"/>
    <numFmt numFmtId="173" formatCode="&quot;$&quot;#,##0.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indexed="12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66FF"/>
      <name val="Arial"/>
      <family val="2"/>
    </font>
    <font>
      <i/>
      <sz val="10"/>
      <color theme="1"/>
      <name val="Arial"/>
      <family val="2"/>
    </font>
    <font>
      <sz val="11"/>
      <color rgb="FF19EFC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2ABBF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rgb="FF2ABBFC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5" fontId="4" fillId="0" borderId="0" xfId="0" applyNumberFormat="1" applyFont="1"/>
    <xf numFmtId="0" fontId="2" fillId="0" borderId="1" xfId="0" applyFont="1" applyBorder="1"/>
    <xf numFmtId="0" fontId="3" fillId="0" borderId="1" xfId="0" applyFont="1" applyBorder="1"/>
    <xf numFmtId="0" fontId="2" fillId="0" borderId="10" xfId="0" applyFont="1" applyBorder="1"/>
    <xf numFmtId="0" fontId="3" fillId="0" borderId="10" xfId="0" applyFont="1" applyBorder="1"/>
    <xf numFmtId="0" fontId="6" fillId="0" borderId="0" xfId="0" applyFont="1"/>
    <xf numFmtId="0" fontId="7" fillId="0" borderId="1" xfId="0" applyFont="1" applyBorder="1"/>
    <xf numFmtId="0" fontId="6" fillId="0" borderId="1" xfId="0" applyFont="1" applyBorder="1"/>
    <xf numFmtId="164" fontId="8" fillId="3" borderId="0" xfId="0" applyNumberFormat="1" applyFont="1" applyFill="1"/>
    <xf numFmtId="9" fontId="8" fillId="3" borderId="0" xfId="1" applyFont="1" applyFill="1"/>
    <xf numFmtId="167" fontId="8" fillId="3" borderId="0" xfId="0" applyNumberFormat="1" applyFont="1" applyFill="1"/>
    <xf numFmtId="166" fontId="8" fillId="3" borderId="0" xfId="0" applyNumberFormat="1" applyFont="1" applyFill="1"/>
    <xf numFmtId="164" fontId="6" fillId="0" borderId="0" xfId="0" applyNumberFormat="1" applyFont="1"/>
    <xf numFmtId="9" fontId="8" fillId="3" borderId="0" xfId="0" applyNumberFormat="1" applyFont="1" applyFill="1"/>
    <xf numFmtId="0" fontId="8" fillId="3" borderId="0" xfId="0" applyFont="1" applyFill="1"/>
    <xf numFmtId="0" fontId="6" fillId="0" borderId="2" xfId="0" applyFont="1" applyBorder="1"/>
    <xf numFmtId="165" fontId="6" fillId="0" borderId="2" xfId="0" applyNumberFormat="1" applyFont="1" applyBorder="1"/>
    <xf numFmtId="171" fontId="8" fillId="3" borderId="0" xfId="0" applyNumberFormat="1" applyFont="1" applyFill="1"/>
    <xf numFmtId="5" fontId="8" fillId="3" borderId="0" xfId="0" applyNumberFormat="1" applyFont="1" applyFill="1"/>
    <xf numFmtId="165" fontId="8" fillId="3" borderId="0" xfId="0" applyNumberFormat="1" applyFont="1" applyFill="1"/>
    <xf numFmtId="170" fontId="8" fillId="3" borderId="0" xfId="0" applyNumberFormat="1" applyFont="1" applyFill="1"/>
    <xf numFmtId="0" fontId="7" fillId="2" borderId="1" xfId="0" applyFont="1" applyFill="1" applyBorder="1"/>
    <xf numFmtId="168" fontId="6" fillId="0" borderId="0" xfId="0" applyNumberFormat="1" applyFont="1"/>
    <xf numFmtId="167" fontId="6" fillId="0" borderId="0" xfId="0" applyNumberFormat="1" applyFont="1"/>
    <xf numFmtId="9" fontId="6" fillId="0" borderId="0" xfId="1" applyFont="1"/>
    <xf numFmtId="173" fontId="6" fillId="0" borderId="0" xfId="0" applyNumberFormat="1" applyFont="1"/>
    <xf numFmtId="0" fontId="7" fillId="0" borderId="2" xfId="0" applyFont="1" applyBorder="1"/>
    <xf numFmtId="173" fontId="7" fillId="0" borderId="2" xfId="0" applyNumberFormat="1" applyFont="1" applyBorder="1"/>
    <xf numFmtId="167" fontId="7" fillId="0" borderId="2" xfId="0" applyNumberFormat="1" applyFont="1" applyBorder="1"/>
    <xf numFmtId="9" fontId="7" fillId="0" borderId="2" xfId="1" applyFont="1" applyBorder="1"/>
    <xf numFmtId="0" fontId="7" fillId="0" borderId="0" xfId="0" applyFont="1"/>
    <xf numFmtId="0" fontId="7" fillId="2" borderId="0" xfId="0" applyFont="1" applyFill="1"/>
    <xf numFmtId="169" fontId="7" fillId="2" borderId="0" xfId="0" applyNumberFormat="1" applyFont="1" applyFill="1"/>
    <xf numFmtId="0" fontId="9" fillId="0" borderId="0" xfId="0" applyFont="1" applyAlignment="1">
      <alignment horizontal="left" indent="1"/>
    </xf>
    <xf numFmtId="9" fontId="6" fillId="0" borderId="0" xfId="0" applyNumberFormat="1" applyFont="1"/>
    <xf numFmtId="171" fontId="6" fillId="0" borderId="0" xfId="1" applyNumberFormat="1" applyFont="1"/>
    <xf numFmtId="171" fontId="6" fillId="0" borderId="0" xfId="0" applyNumberFormat="1" applyFont="1"/>
    <xf numFmtId="5" fontId="6" fillId="0" borderId="0" xfId="0" applyNumberFormat="1" applyFont="1"/>
    <xf numFmtId="168" fontId="6" fillId="0" borderId="2" xfId="0" applyNumberFormat="1" applyFont="1" applyBorder="1"/>
    <xf numFmtId="172" fontId="6" fillId="0" borderId="2" xfId="0" applyNumberFormat="1" applyFont="1" applyBorder="1"/>
    <xf numFmtId="172" fontId="6" fillId="0" borderId="0" xfId="0" applyNumberFormat="1" applyFont="1"/>
    <xf numFmtId="7" fontId="6" fillId="0" borderId="0" xfId="0" applyNumberFormat="1" applyFont="1"/>
    <xf numFmtId="0" fontId="9" fillId="0" borderId="0" xfId="0" applyFont="1"/>
    <xf numFmtId="167" fontId="9" fillId="0" borderId="0" xfId="0" applyNumberFormat="1" applyFont="1"/>
    <xf numFmtId="168" fontId="7" fillId="0" borderId="2" xfId="0" applyNumberFormat="1" applyFont="1" applyBorder="1"/>
    <xf numFmtId="0" fontId="7" fillId="0" borderId="3" xfId="0" applyFont="1" applyBorder="1"/>
    <xf numFmtId="0" fontId="6" fillId="0" borderId="3" xfId="0" applyFont="1" applyBorder="1"/>
    <xf numFmtId="168" fontId="7" fillId="0" borderId="3" xfId="0" applyNumberFormat="1" applyFont="1" applyBorder="1"/>
    <xf numFmtId="0" fontId="7" fillId="0" borderId="4" xfId="0" applyFont="1" applyBorder="1"/>
    <xf numFmtId="0" fontId="7" fillId="0" borderId="5" xfId="0" applyFont="1" applyBorder="1"/>
    <xf numFmtId="167" fontId="7" fillId="0" borderId="6" xfId="0" applyNumberFormat="1" applyFont="1" applyBorder="1"/>
    <xf numFmtId="0" fontId="7" fillId="0" borderId="7" xfId="0" applyFont="1" applyBorder="1"/>
    <xf numFmtId="0" fontId="7" fillId="0" borderId="8" xfId="0" applyFont="1" applyBorder="1"/>
    <xf numFmtId="9" fontId="7" fillId="0" borderId="9" xfId="1" applyFont="1" applyBorder="1"/>
    <xf numFmtId="0" fontId="5" fillId="4" borderId="0" xfId="0" applyFont="1" applyFill="1"/>
    <xf numFmtId="0" fontId="10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203480</xdr:colOff>
      <xdr:row>0</xdr:row>
      <xdr:rowOff>30827</xdr:rowOff>
    </xdr:from>
    <xdr:to>
      <xdr:col>15</xdr:col>
      <xdr:colOff>180043</xdr:colOff>
      <xdr:row>5</xdr:row>
      <xdr:rowOff>38063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75CF20-84F2-4063-89C2-090C17C2A37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27" b="23794"/>
        <a:stretch/>
      </xdr:blipFill>
      <xdr:spPr bwMode="auto">
        <a:xfrm>
          <a:off x="6299480" y="30827"/>
          <a:ext cx="3024563" cy="8962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432933</xdr:colOff>
      <xdr:row>0</xdr:row>
      <xdr:rowOff>122731</xdr:rowOff>
    </xdr:from>
    <xdr:to>
      <xdr:col>10</xdr:col>
      <xdr:colOff>238740</xdr:colOff>
      <xdr:row>5</xdr:row>
      <xdr:rowOff>157875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98E130-AF4B-46D6-9F4C-E6E20B83476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027" b="23794"/>
        <a:stretch/>
      </xdr:blipFill>
      <xdr:spPr bwMode="auto">
        <a:xfrm>
          <a:off x="3944109" y="122731"/>
          <a:ext cx="3018160" cy="8995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6D6D-BACA-44D0-85CF-FEEBFDF91F7A}">
  <dimension ref="A1:O32"/>
  <sheetViews>
    <sheetView showGridLines="0" workbookViewId="0">
      <selection activeCell="B8" sqref="A8:XFD8"/>
    </sheetView>
  </sheetViews>
  <sheetFormatPr defaultColWidth="8.7109375" defaultRowHeight="14.25" x14ac:dyDescent="0.2"/>
  <cols>
    <col min="1" max="16384" width="8.7109375" style="2"/>
  </cols>
  <sheetData>
    <row r="1" spans="1:15" x14ac:dyDescent="0.2">
      <c r="A1" s="2" t="s">
        <v>100</v>
      </c>
    </row>
    <row r="3" spans="1:15" ht="15" x14ac:dyDescent="0.25">
      <c r="B3" s="1" t="s">
        <v>102</v>
      </c>
    </row>
    <row r="4" spans="1:15" ht="15" x14ac:dyDescent="0.25">
      <c r="L4"/>
    </row>
    <row r="5" spans="1:15" ht="15.75" thickBot="1" x14ac:dyDescent="0.3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5" thickTop="1" x14ac:dyDescent="0.2"/>
    <row r="8" spans="1:15" ht="15" x14ac:dyDescent="0.25">
      <c r="B8" s="4" t="s">
        <v>101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10" spans="1:15" ht="15" x14ac:dyDescent="0.25">
      <c r="B10" s="1" t="s">
        <v>11</v>
      </c>
    </row>
    <row r="11" spans="1:15" x14ac:dyDescent="0.2">
      <c r="B11" s="2">
        <v>1</v>
      </c>
      <c r="C11" s="2" t="s">
        <v>0</v>
      </c>
    </row>
    <row r="12" spans="1:15" x14ac:dyDescent="0.2">
      <c r="B12" s="2">
        <f>B11+1</f>
        <v>2</v>
      </c>
      <c r="C12" s="2" t="s">
        <v>1</v>
      </c>
    </row>
    <row r="13" spans="1:15" x14ac:dyDescent="0.2">
      <c r="B13" s="2">
        <f t="shared" ref="B13:B21" si="0">B12+1</f>
        <v>3</v>
      </c>
      <c r="C13" s="2" t="s">
        <v>2</v>
      </c>
    </row>
    <row r="14" spans="1:15" x14ac:dyDescent="0.2">
      <c r="B14" s="2">
        <f t="shared" si="0"/>
        <v>4</v>
      </c>
      <c r="C14" s="2" t="s">
        <v>3</v>
      </c>
    </row>
    <row r="15" spans="1:15" x14ac:dyDescent="0.2">
      <c r="B15" s="2">
        <f t="shared" si="0"/>
        <v>5</v>
      </c>
      <c r="C15" s="2" t="s">
        <v>4</v>
      </c>
    </row>
    <row r="16" spans="1:15" x14ac:dyDescent="0.2">
      <c r="B16" s="2">
        <f t="shared" si="0"/>
        <v>6</v>
      </c>
      <c r="C16" s="2" t="s">
        <v>5</v>
      </c>
    </row>
    <row r="17" spans="2:4" x14ac:dyDescent="0.2">
      <c r="B17" s="2">
        <f t="shared" si="0"/>
        <v>7</v>
      </c>
      <c r="C17" s="2" t="s">
        <v>6</v>
      </c>
    </row>
    <row r="18" spans="2:4" x14ac:dyDescent="0.2">
      <c r="B18" s="2">
        <f t="shared" si="0"/>
        <v>8</v>
      </c>
      <c r="C18" s="2" t="s">
        <v>7</v>
      </c>
    </row>
    <row r="19" spans="2:4" x14ac:dyDescent="0.2">
      <c r="B19" s="2">
        <f t="shared" si="0"/>
        <v>9</v>
      </c>
      <c r="C19" s="2" t="s">
        <v>8</v>
      </c>
    </row>
    <row r="20" spans="2:4" x14ac:dyDescent="0.2">
      <c r="B20" s="2">
        <f t="shared" si="0"/>
        <v>10</v>
      </c>
      <c r="C20" s="2" t="s">
        <v>9</v>
      </c>
    </row>
    <row r="21" spans="2:4" x14ac:dyDescent="0.2">
      <c r="B21" s="2">
        <f t="shared" si="0"/>
        <v>11</v>
      </c>
      <c r="C21" s="2" t="s">
        <v>10</v>
      </c>
    </row>
    <row r="23" spans="2:4" ht="15" x14ac:dyDescent="0.25">
      <c r="B23" s="1" t="s">
        <v>18</v>
      </c>
    </row>
    <row r="24" spans="2:4" x14ac:dyDescent="0.2">
      <c r="B24" s="2">
        <v>1</v>
      </c>
      <c r="C24" s="2" t="s">
        <v>19</v>
      </c>
    </row>
    <row r="27" spans="2:4" ht="15" x14ac:dyDescent="0.25">
      <c r="B27" s="1" t="s">
        <v>12</v>
      </c>
    </row>
    <row r="28" spans="2:4" x14ac:dyDescent="0.2">
      <c r="B28" s="2" t="s">
        <v>13</v>
      </c>
      <c r="D28" s="3">
        <v>600</v>
      </c>
    </row>
    <row r="29" spans="2:4" x14ac:dyDescent="0.2">
      <c r="B29" s="2" t="s">
        <v>14</v>
      </c>
      <c r="D29" s="3">
        <v>80</v>
      </c>
    </row>
    <row r="30" spans="2:4" x14ac:dyDescent="0.2">
      <c r="B30" s="2" t="s">
        <v>15</v>
      </c>
      <c r="D30" s="3">
        <v>20</v>
      </c>
    </row>
    <row r="31" spans="2:4" x14ac:dyDescent="0.2">
      <c r="B31" s="2" t="s">
        <v>16</v>
      </c>
      <c r="D31" s="3">
        <v>15</v>
      </c>
    </row>
    <row r="32" spans="2:4" x14ac:dyDescent="0.2">
      <c r="B32" s="2" t="s">
        <v>17</v>
      </c>
      <c r="D32" s="3">
        <v>40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A5565-CC59-43A4-AB0A-2BC20AFDF15E}">
  <dimension ref="A1"/>
  <sheetViews>
    <sheetView workbookViewId="0">
      <selection activeCell="D22" sqref="D22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ED28E-6F8D-4032-86DC-760EE8C77C7A}">
  <dimension ref="A2:O129"/>
  <sheetViews>
    <sheetView showGridLines="0" tabSelected="1" zoomScale="119" workbookViewId="0">
      <selection activeCell="A8" sqref="A8"/>
    </sheetView>
  </sheetViews>
  <sheetFormatPr defaultColWidth="8.7109375" defaultRowHeight="12.75" x14ac:dyDescent="0.2"/>
  <cols>
    <col min="1" max="1" width="3.42578125" style="8" customWidth="1"/>
    <col min="2" max="2" width="15" style="8" bestFit="1" customWidth="1"/>
    <col min="3" max="3" width="8.85546875" style="8" bestFit="1" customWidth="1"/>
    <col min="4" max="4" width="9" style="8" bestFit="1" customWidth="1"/>
    <col min="5" max="6" width="8.85546875" style="8" bestFit="1" customWidth="1"/>
    <col min="7" max="7" width="10.85546875" style="8" bestFit="1" customWidth="1"/>
    <col min="8" max="10" width="8.85546875" style="8" bestFit="1" customWidth="1"/>
    <col min="11" max="16384" width="8.7109375" style="8"/>
  </cols>
  <sheetData>
    <row r="2" spans="1:15" s="2" customFormat="1" ht="14.25" x14ac:dyDescent="0.2">
      <c r="A2" s="2" t="s">
        <v>100</v>
      </c>
    </row>
    <row r="3" spans="1:15" s="2" customFormat="1" ht="14.25" x14ac:dyDescent="0.2"/>
    <row r="4" spans="1:15" s="2" customFormat="1" ht="15" x14ac:dyDescent="0.25">
      <c r="B4" s="1" t="s">
        <v>102</v>
      </c>
    </row>
    <row r="5" spans="1:15" s="2" customFormat="1" ht="14.25" x14ac:dyDescent="0.2"/>
    <row r="6" spans="1:15" s="2" customFormat="1" ht="15.75" thickBot="1" x14ac:dyDescent="0.3">
      <c r="B6" s="6"/>
      <c r="C6" s="7"/>
      <c r="D6" s="7"/>
      <c r="E6" s="7"/>
      <c r="F6" s="7"/>
      <c r="G6" s="7"/>
      <c r="H6" s="7"/>
      <c r="I6" s="7"/>
      <c r="J6" s="7"/>
      <c r="K6" s="7"/>
    </row>
    <row r="7" spans="1:15" ht="15" thickTop="1" x14ac:dyDescent="0.2">
      <c r="K7" s="2"/>
      <c r="L7" s="2"/>
      <c r="M7" s="2"/>
      <c r="N7" s="2"/>
      <c r="O7" s="2"/>
    </row>
    <row r="8" spans="1:15" ht="15" x14ac:dyDescent="0.25">
      <c r="A8" s="58" t="s">
        <v>20</v>
      </c>
      <c r="B8" s="57" t="s">
        <v>21</v>
      </c>
      <c r="C8" s="57"/>
      <c r="D8" s="57"/>
      <c r="E8" s="57"/>
      <c r="F8" s="57"/>
      <c r="G8" s="57"/>
      <c r="H8" s="57"/>
      <c r="I8" s="57"/>
      <c r="J8" s="57"/>
      <c r="K8" s="57"/>
      <c r="L8" s="2"/>
      <c r="M8" s="2"/>
      <c r="N8" s="2"/>
      <c r="O8" s="2"/>
    </row>
    <row r="9" spans="1:15" ht="14.25" x14ac:dyDescent="0.2">
      <c r="K9" s="2"/>
      <c r="L9" s="2"/>
      <c r="M9" s="2"/>
      <c r="N9" s="2"/>
      <c r="O9" s="2"/>
    </row>
    <row r="10" spans="1:15" ht="14.25" x14ac:dyDescent="0.2">
      <c r="B10" s="9" t="s">
        <v>22</v>
      </c>
      <c r="C10" s="10"/>
      <c r="E10" s="9" t="s">
        <v>24</v>
      </c>
      <c r="F10" s="10"/>
      <c r="G10" s="10"/>
      <c r="K10" s="2"/>
      <c r="L10" s="2"/>
      <c r="M10" s="2"/>
      <c r="N10" s="2"/>
      <c r="O10" s="2"/>
    </row>
    <row r="11" spans="1:15" ht="14.25" x14ac:dyDescent="0.2">
      <c r="B11" s="8" t="s">
        <v>23</v>
      </c>
      <c r="C11" s="11">
        <v>15</v>
      </c>
      <c r="E11" s="10" t="s">
        <v>29</v>
      </c>
      <c r="F11" s="10" t="s">
        <v>30</v>
      </c>
      <c r="G11" s="10" t="s">
        <v>31</v>
      </c>
      <c r="K11" s="2"/>
      <c r="L11" s="2"/>
      <c r="M11" s="2"/>
      <c r="N11" s="2"/>
      <c r="O11" s="2"/>
    </row>
    <row r="12" spans="1:15" x14ac:dyDescent="0.2">
      <c r="B12" s="8" t="s">
        <v>25</v>
      </c>
      <c r="C12" s="12">
        <v>0.25</v>
      </c>
      <c r="E12" s="8" t="s">
        <v>28</v>
      </c>
      <c r="F12" s="13">
        <v>3</v>
      </c>
      <c r="G12" s="14">
        <v>175</v>
      </c>
    </row>
    <row r="13" spans="1:15" x14ac:dyDescent="0.2">
      <c r="B13" s="8" t="s">
        <v>26</v>
      </c>
      <c r="C13" s="15">
        <f>C11*(1+C12)</f>
        <v>18.75</v>
      </c>
      <c r="E13" s="8" t="s">
        <v>32</v>
      </c>
      <c r="F13" s="13">
        <v>1.5</v>
      </c>
      <c r="G13" s="16">
        <v>0.16</v>
      </c>
    </row>
    <row r="14" spans="1:15" x14ac:dyDescent="0.2">
      <c r="B14" s="8" t="s">
        <v>96</v>
      </c>
      <c r="C14" s="17">
        <v>25</v>
      </c>
    </row>
    <row r="15" spans="1:15" x14ac:dyDescent="0.2">
      <c r="B15" s="18" t="s">
        <v>27</v>
      </c>
      <c r="C15" s="19">
        <f>C13*C14</f>
        <v>468.75</v>
      </c>
      <c r="E15" s="8" t="s">
        <v>68</v>
      </c>
      <c r="F15" s="20">
        <v>4.4999999999999998E-2</v>
      </c>
    </row>
    <row r="17" spans="1:10" x14ac:dyDescent="0.2">
      <c r="B17" s="9" t="s">
        <v>12</v>
      </c>
      <c r="C17" s="10"/>
      <c r="D17" s="10"/>
      <c r="F17" s="9" t="s">
        <v>33</v>
      </c>
      <c r="G17" s="10"/>
      <c r="H17" s="10"/>
      <c r="I17" s="10"/>
      <c r="J17" s="10"/>
    </row>
    <row r="18" spans="1:10" x14ac:dyDescent="0.2">
      <c r="B18" s="8" t="s">
        <v>13</v>
      </c>
      <c r="D18" s="21">
        <v>600</v>
      </c>
      <c r="F18" s="8" t="s">
        <v>35</v>
      </c>
      <c r="J18" s="16">
        <v>0.01</v>
      </c>
    </row>
    <row r="19" spans="1:10" x14ac:dyDescent="0.2">
      <c r="B19" s="8" t="s">
        <v>14</v>
      </c>
      <c r="D19" s="21">
        <v>80</v>
      </c>
      <c r="F19" s="8" t="s">
        <v>34</v>
      </c>
      <c r="J19" s="22">
        <f>J18*C15</f>
        <v>4.6875</v>
      </c>
    </row>
    <row r="20" spans="1:10" x14ac:dyDescent="0.2">
      <c r="B20" s="8" t="s">
        <v>15</v>
      </c>
      <c r="D20" s="21">
        <v>20</v>
      </c>
      <c r="F20" s="8" t="s">
        <v>42</v>
      </c>
      <c r="J20" s="17">
        <v>15</v>
      </c>
    </row>
    <row r="21" spans="1:10" x14ac:dyDescent="0.2">
      <c r="B21" s="8" t="s">
        <v>16</v>
      </c>
      <c r="D21" s="21">
        <v>15</v>
      </c>
      <c r="F21" s="8" t="s">
        <v>50</v>
      </c>
      <c r="J21" s="16">
        <v>0.05</v>
      </c>
    </row>
    <row r="22" spans="1:10" x14ac:dyDescent="0.2">
      <c r="B22" s="8" t="s">
        <v>17</v>
      </c>
      <c r="D22" s="21">
        <v>40</v>
      </c>
      <c r="F22" s="8" t="s">
        <v>52</v>
      </c>
      <c r="J22" s="23">
        <v>25</v>
      </c>
    </row>
    <row r="23" spans="1:10" x14ac:dyDescent="0.2">
      <c r="F23" s="8" t="s">
        <v>59</v>
      </c>
      <c r="J23" s="16">
        <v>0.25</v>
      </c>
    </row>
    <row r="24" spans="1:10" x14ac:dyDescent="0.2">
      <c r="F24" s="8" t="s">
        <v>85</v>
      </c>
      <c r="J24" s="13">
        <v>8</v>
      </c>
    </row>
    <row r="25" spans="1:10" x14ac:dyDescent="0.2">
      <c r="F25" s="8" t="s">
        <v>90</v>
      </c>
      <c r="J25" s="16">
        <v>0.05</v>
      </c>
    </row>
    <row r="27" spans="1:10" ht="15" x14ac:dyDescent="0.25">
      <c r="A27" s="58" t="s">
        <v>20</v>
      </c>
      <c r="B27" s="57" t="s">
        <v>36</v>
      </c>
      <c r="C27" s="57"/>
      <c r="D27" s="57"/>
      <c r="E27" s="57"/>
      <c r="F27" s="57"/>
      <c r="G27" s="57"/>
      <c r="H27" s="57"/>
      <c r="I27" s="57"/>
      <c r="J27" s="57"/>
    </row>
    <row r="29" spans="1:10" x14ac:dyDescent="0.2">
      <c r="B29" s="24" t="s">
        <v>37</v>
      </c>
      <c r="C29" s="24" t="s">
        <v>41</v>
      </c>
      <c r="D29" s="24" t="s">
        <v>30</v>
      </c>
      <c r="E29" s="24" t="s">
        <v>38</v>
      </c>
      <c r="G29" s="24" t="s">
        <v>39</v>
      </c>
      <c r="H29" s="24" t="s">
        <v>41</v>
      </c>
      <c r="I29" s="24" t="s">
        <v>30</v>
      </c>
      <c r="J29" s="24" t="s">
        <v>38</v>
      </c>
    </row>
    <row r="30" spans="1:10" x14ac:dyDescent="0.2">
      <c r="B30" s="8" t="str">
        <f>E12</f>
        <v>Bank Debt</v>
      </c>
      <c r="C30" s="25">
        <f>D30*D19</f>
        <v>240</v>
      </c>
      <c r="D30" s="26">
        <f>F12</f>
        <v>3</v>
      </c>
      <c r="E30" s="27">
        <f>C30/$C$33</f>
        <v>0.49136276391554701</v>
      </c>
      <c r="G30" s="8" t="s">
        <v>40</v>
      </c>
      <c r="H30" s="28">
        <f>C15</f>
        <v>468.75</v>
      </c>
      <c r="I30" s="26">
        <f t="shared" ref="I30:I33" si="0">H30/$D$19</f>
        <v>5.859375</v>
      </c>
      <c r="J30" s="27">
        <f>H30/$H$33</f>
        <v>0.95969289827255277</v>
      </c>
    </row>
    <row r="31" spans="1:10" x14ac:dyDescent="0.2">
      <c r="B31" s="8" t="str">
        <f>E13</f>
        <v>Sr. Notes</v>
      </c>
      <c r="C31" s="25">
        <f>D31*D20</f>
        <v>30</v>
      </c>
      <c r="D31" s="26">
        <f>F13</f>
        <v>1.5</v>
      </c>
      <c r="E31" s="27">
        <f>C31/$C$33</f>
        <v>6.1420345489443376E-2</v>
      </c>
      <c r="G31" s="8" t="s">
        <v>42</v>
      </c>
      <c r="H31" s="8">
        <f>J20</f>
        <v>15</v>
      </c>
      <c r="I31" s="26">
        <f t="shared" si="0"/>
        <v>0.1875</v>
      </c>
      <c r="J31" s="27">
        <f t="shared" ref="J31:J33" si="1">H31/$H$33</f>
        <v>3.0710172744721688E-2</v>
      </c>
    </row>
    <row r="32" spans="1:10" x14ac:dyDescent="0.2">
      <c r="B32" s="8" t="s">
        <v>46</v>
      </c>
      <c r="C32" s="28">
        <f>C33-SUM(C30:C31)</f>
        <v>218.4375</v>
      </c>
      <c r="D32" s="26">
        <f>C32/$D$19</f>
        <v>2.73046875</v>
      </c>
      <c r="E32" s="27">
        <f t="shared" ref="E32:E33" si="2">C32/$C$33</f>
        <v>0.44721689059500958</v>
      </c>
      <c r="G32" s="8" t="s">
        <v>43</v>
      </c>
      <c r="H32" s="28">
        <f>J19</f>
        <v>4.6875</v>
      </c>
      <c r="I32" s="26">
        <f t="shared" si="0"/>
        <v>5.859375E-2</v>
      </c>
      <c r="J32" s="27">
        <f t="shared" si="1"/>
        <v>9.5969289827255271E-3</v>
      </c>
    </row>
    <row r="33" spans="1:10" x14ac:dyDescent="0.2">
      <c r="B33" s="29" t="s">
        <v>45</v>
      </c>
      <c r="C33" s="30">
        <f>H33</f>
        <v>488.4375</v>
      </c>
      <c r="D33" s="31">
        <f>C33/$D$19</f>
        <v>6.10546875</v>
      </c>
      <c r="E33" s="32">
        <f t="shared" si="2"/>
        <v>1</v>
      </c>
      <c r="G33" s="29" t="s">
        <v>44</v>
      </c>
      <c r="H33" s="30">
        <f>SUM(H30:H32)</f>
        <v>488.4375</v>
      </c>
      <c r="I33" s="31">
        <f t="shared" si="0"/>
        <v>6.10546875</v>
      </c>
      <c r="J33" s="32">
        <f t="shared" si="1"/>
        <v>1</v>
      </c>
    </row>
    <row r="36" spans="1:10" ht="15" x14ac:dyDescent="0.25">
      <c r="A36" s="58" t="s">
        <v>20</v>
      </c>
      <c r="B36" s="57" t="s">
        <v>47</v>
      </c>
      <c r="C36" s="57"/>
      <c r="D36" s="57"/>
      <c r="E36" s="57"/>
      <c r="F36" s="57"/>
      <c r="G36" s="57"/>
      <c r="H36" s="57"/>
      <c r="I36" s="57"/>
      <c r="J36" s="57"/>
    </row>
    <row r="37" spans="1:10" x14ac:dyDescent="0.2">
      <c r="B37" s="33"/>
    </row>
    <row r="38" spans="1:10" x14ac:dyDescent="0.2">
      <c r="B38" s="34"/>
      <c r="C38" s="34" t="s">
        <v>48</v>
      </c>
      <c r="D38" s="35">
        <v>1</v>
      </c>
      <c r="E38" s="35">
        <f>D38+1</f>
        <v>2</v>
      </c>
      <c r="F38" s="35">
        <f t="shared" ref="F38:H38" si="3">E38+1</f>
        <v>3</v>
      </c>
      <c r="G38" s="35">
        <f t="shared" si="3"/>
        <v>4</v>
      </c>
      <c r="H38" s="35">
        <f t="shared" si="3"/>
        <v>5</v>
      </c>
    </row>
    <row r="39" spans="1:10" x14ac:dyDescent="0.2">
      <c r="B39" s="8" t="s">
        <v>13</v>
      </c>
      <c r="C39" s="25">
        <f>D18</f>
        <v>600</v>
      </c>
      <c r="D39" s="25">
        <f>C39*(1+D40)</f>
        <v>630</v>
      </c>
      <c r="E39" s="25">
        <f t="shared" ref="E39:H39" si="4">D39*(1+E40)</f>
        <v>661.5</v>
      </c>
      <c r="F39" s="25">
        <f t="shared" si="4"/>
        <v>694.57500000000005</v>
      </c>
      <c r="G39" s="25">
        <f t="shared" si="4"/>
        <v>729.30375000000004</v>
      </c>
      <c r="H39" s="25">
        <f t="shared" si="4"/>
        <v>765.76893750000011</v>
      </c>
    </row>
    <row r="40" spans="1:10" x14ac:dyDescent="0.2">
      <c r="B40" s="36" t="s">
        <v>49</v>
      </c>
      <c r="D40" s="37">
        <f>$J$21</f>
        <v>0.05</v>
      </c>
      <c r="E40" s="37">
        <f>D40</f>
        <v>0.05</v>
      </c>
      <c r="F40" s="37">
        <f t="shared" ref="F40:H40" si="5">E40</f>
        <v>0.05</v>
      </c>
      <c r="G40" s="37">
        <f t="shared" si="5"/>
        <v>0.05</v>
      </c>
      <c r="H40" s="37">
        <f t="shared" si="5"/>
        <v>0.05</v>
      </c>
    </row>
    <row r="42" spans="1:10" x14ac:dyDescent="0.2">
      <c r="B42" s="8" t="s">
        <v>14</v>
      </c>
      <c r="C42" s="25">
        <f>D19</f>
        <v>80</v>
      </c>
      <c r="D42" s="25">
        <f>D43*D39</f>
        <v>85.575000000000003</v>
      </c>
      <c r="E42" s="25">
        <f t="shared" ref="E42:H42" si="6">E43*E39</f>
        <v>91.507500000000007</v>
      </c>
      <c r="F42" s="25">
        <f t="shared" si="6"/>
        <v>97.819312500000009</v>
      </c>
      <c r="G42" s="25">
        <f t="shared" si="6"/>
        <v>104.53353750000001</v>
      </c>
      <c r="H42" s="25">
        <f t="shared" si="6"/>
        <v>111.67463671875002</v>
      </c>
    </row>
    <row r="43" spans="1:10" x14ac:dyDescent="0.2">
      <c r="B43" s="36" t="s">
        <v>51</v>
      </c>
      <c r="C43" s="38">
        <f>C42/C39</f>
        <v>0.13333333333333333</v>
      </c>
      <c r="D43" s="39">
        <f>C43+($J$22/10000)</f>
        <v>0.13583333333333333</v>
      </c>
      <c r="E43" s="39">
        <f t="shared" ref="E43:H43" si="7">D43+($J$22/10000)</f>
        <v>0.13833333333333334</v>
      </c>
      <c r="F43" s="39">
        <f t="shared" si="7"/>
        <v>0.14083333333333334</v>
      </c>
      <c r="G43" s="39">
        <f t="shared" si="7"/>
        <v>0.14333333333333334</v>
      </c>
      <c r="H43" s="39">
        <f t="shared" si="7"/>
        <v>0.14583333333333334</v>
      </c>
    </row>
    <row r="45" spans="1:10" x14ac:dyDescent="0.2">
      <c r="B45" s="8" t="s">
        <v>15</v>
      </c>
      <c r="C45" s="40">
        <f>D20</f>
        <v>20</v>
      </c>
      <c r="D45" s="25">
        <f>D46*D$39</f>
        <v>21</v>
      </c>
      <c r="E45" s="25">
        <f t="shared" ref="E45:H45" si="8">E46*E$39</f>
        <v>22.05</v>
      </c>
      <c r="F45" s="25">
        <f t="shared" si="8"/>
        <v>23.1525</v>
      </c>
      <c r="G45" s="25">
        <f t="shared" si="8"/>
        <v>24.310124999999999</v>
      </c>
      <c r="H45" s="25">
        <f t="shared" si="8"/>
        <v>25.525631250000004</v>
      </c>
    </row>
    <row r="46" spans="1:10" x14ac:dyDescent="0.2">
      <c r="B46" s="36" t="s">
        <v>53</v>
      </c>
      <c r="C46" s="27">
        <f>C45/C39</f>
        <v>3.3333333333333333E-2</v>
      </c>
      <c r="D46" s="37">
        <f>C46</f>
        <v>3.3333333333333333E-2</v>
      </c>
      <c r="E46" s="37">
        <f t="shared" ref="E46:H46" si="9">D46</f>
        <v>3.3333333333333333E-2</v>
      </c>
      <c r="F46" s="37">
        <f t="shared" si="9"/>
        <v>3.3333333333333333E-2</v>
      </c>
      <c r="G46" s="37">
        <f t="shared" si="9"/>
        <v>3.3333333333333333E-2</v>
      </c>
      <c r="H46" s="37">
        <f t="shared" si="9"/>
        <v>3.3333333333333333E-2</v>
      </c>
    </row>
    <row r="48" spans="1:10" x14ac:dyDescent="0.2">
      <c r="B48" s="8" t="s">
        <v>54</v>
      </c>
      <c r="C48" s="25">
        <f>C42-C45</f>
        <v>60</v>
      </c>
      <c r="D48" s="25">
        <f t="shared" ref="D48:H48" si="10">D42-D45</f>
        <v>64.575000000000003</v>
      </c>
      <c r="E48" s="25">
        <f t="shared" si="10"/>
        <v>69.45750000000001</v>
      </c>
      <c r="F48" s="25">
        <f t="shared" si="10"/>
        <v>74.666812500000006</v>
      </c>
      <c r="G48" s="25">
        <f t="shared" si="10"/>
        <v>80.223412500000009</v>
      </c>
      <c r="H48" s="25">
        <f t="shared" si="10"/>
        <v>86.149005468750019</v>
      </c>
    </row>
    <row r="49" spans="1:10" x14ac:dyDescent="0.2">
      <c r="B49" s="8" t="s">
        <v>55</v>
      </c>
      <c r="C49" s="25"/>
      <c r="D49" s="25">
        <f ca="1">D108</f>
        <v>18.621400000000001</v>
      </c>
      <c r="E49" s="25">
        <f t="shared" ref="E49:H49" ca="1" si="11">E108</f>
        <v>16.085247200000001</v>
      </c>
      <c r="F49" s="25">
        <f t="shared" ca="1" si="11"/>
        <v>13.174495565600001</v>
      </c>
      <c r="G49" s="25">
        <f t="shared" ca="1" si="11"/>
        <v>9.854452952748801</v>
      </c>
      <c r="H49" s="25">
        <f t="shared" ca="1" si="11"/>
        <v>5.4967791246007742</v>
      </c>
    </row>
    <row r="50" spans="1:10" x14ac:dyDescent="0.2">
      <c r="B50" s="8" t="s">
        <v>56</v>
      </c>
      <c r="C50" s="25"/>
      <c r="D50" s="25">
        <f t="shared" ref="D50:H50" ca="1" si="12">D48-D49</f>
        <v>45.953600000000002</v>
      </c>
      <c r="E50" s="25">
        <f t="shared" ca="1" si="12"/>
        <v>53.372252800000012</v>
      </c>
      <c r="F50" s="25">
        <f t="shared" ca="1" si="12"/>
        <v>61.492316934400009</v>
      </c>
      <c r="G50" s="25">
        <f t="shared" ca="1" si="12"/>
        <v>70.368959547251208</v>
      </c>
      <c r="H50" s="25">
        <f t="shared" ca="1" si="12"/>
        <v>80.652226344149241</v>
      </c>
    </row>
    <row r="51" spans="1:10" x14ac:dyDescent="0.2">
      <c r="B51" s="8" t="s">
        <v>57</v>
      </c>
      <c r="D51" s="25">
        <f ca="1">D50*$J$23</f>
        <v>11.4884</v>
      </c>
      <c r="E51" s="25">
        <f t="shared" ref="E51:H51" ca="1" si="13">E50*$J$23</f>
        <v>13.343063200000003</v>
      </c>
      <c r="F51" s="25">
        <f t="shared" ca="1" si="13"/>
        <v>15.373079233600002</v>
      </c>
      <c r="G51" s="25">
        <f t="shared" ca="1" si="13"/>
        <v>17.592239886812802</v>
      </c>
      <c r="H51" s="25">
        <f t="shared" ca="1" si="13"/>
        <v>20.16305658603731</v>
      </c>
    </row>
    <row r="52" spans="1:10" x14ac:dyDescent="0.2">
      <c r="B52" s="8" t="s">
        <v>58</v>
      </c>
      <c r="D52" s="25">
        <f ca="1">D50-D51</f>
        <v>34.465200000000003</v>
      </c>
      <c r="E52" s="25">
        <f t="shared" ref="E52:H52" ca="1" si="14">E50-E51</f>
        <v>40.029189600000009</v>
      </c>
      <c r="F52" s="25">
        <f t="shared" ca="1" si="14"/>
        <v>46.119237700800007</v>
      </c>
      <c r="G52" s="25">
        <f t="shared" ca="1" si="14"/>
        <v>52.776719660438403</v>
      </c>
      <c r="H52" s="25">
        <f t="shared" ca="1" si="14"/>
        <v>60.489169758111927</v>
      </c>
    </row>
    <row r="54" spans="1:10" ht="15" x14ac:dyDescent="0.25">
      <c r="A54" s="58" t="s">
        <v>20</v>
      </c>
      <c r="B54" s="57" t="s">
        <v>65</v>
      </c>
      <c r="C54" s="57"/>
      <c r="D54" s="57"/>
      <c r="E54" s="57"/>
      <c r="F54" s="57"/>
      <c r="G54" s="57"/>
      <c r="H54" s="57"/>
      <c r="I54" s="57"/>
      <c r="J54" s="57"/>
    </row>
    <row r="55" spans="1:10" x14ac:dyDescent="0.2">
      <c r="B55" s="33"/>
    </row>
    <row r="56" spans="1:10" x14ac:dyDescent="0.2">
      <c r="B56" s="34"/>
      <c r="C56" s="34" t="s">
        <v>48</v>
      </c>
      <c r="D56" s="35">
        <v>1</v>
      </c>
      <c r="E56" s="35">
        <f>D56+1</f>
        <v>2</v>
      </c>
      <c r="F56" s="35">
        <f t="shared" ref="F56:H56" si="15">E56+1</f>
        <v>3</v>
      </c>
      <c r="G56" s="35">
        <f t="shared" si="15"/>
        <v>4</v>
      </c>
      <c r="H56" s="35">
        <f t="shared" si="15"/>
        <v>5</v>
      </c>
    </row>
    <row r="57" spans="1:10" x14ac:dyDescent="0.2">
      <c r="B57" s="33"/>
    </row>
    <row r="58" spans="1:10" x14ac:dyDescent="0.2">
      <c r="B58" s="8" t="s">
        <v>66</v>
      </c>
      <c r="C58" s="40">
        <f>D21</f>
        <v>15</v>
      </c>
      <c r="D58" s="25">
        <f>D59*D$39</f>
        <v>15.75</v>
      </c>
      <c r="E58" s="25">
        <f t="shared" ref="E58:H58" si="16">E59*E$39</f>
        <v>16.537500000000001</v>
      </c>
      <c r="F58" s="25">
        <f t="shared" si="16"/>
        <v>17.364375000000003</v>
      </c>
      <c r="G58" s="25">
        <f t="shared" si="16"/>
        <v>18.232593750000003</v>
      </c>
      <c r="H58" s="25">
        <f t="shared" si="16"/>
        <v>19.144223437500003</v>
      </c>
    </row>
    <row r="59" spans="1:10" x14ac:dyDescent="0.2">
      <c r="B59" s="36" t="s">
        <v>53</v>
      </c>
      <c r="C59" s="27">
        <f>C58/C$39</f>
        <v>2.5000000000000001E-2</v>
      </c>
      <c r="D59" s="37">
        <f>C59</f>
        <v>2.5000000000000001E-2</v>
      </c>
      <c r="E59" s="37">
        <f t="shared" ref="E59:H59" si="17">D59</f>
        <v>2.5000000000000001E-2</v>
      </c>
      <c r="F59" s="37">
        <f t="shared" si="17"/>
        <v>2.5000000000000001E-2</v>
      </c>
      <c r="G59" s="37">
        <f t="shared" si="17"/>
        <v>2.5000000000000001E-2</v>
      </c>
      <c r="H59" s="37">
        <f t="shared" si="17"/>
        <v>2.5000000000000001E-2</v>
      </c>
    </row>
    <row r="60" spans="1:10" x14ac:dyDescent="0.2">
      <c r="B60" s="33"/>
    </row>
    <row r="61" spans="1:10" x14ac:dyDescent="0.2">
      <c r="B61" s="8" t="s">
        <v>17</v>
      </c>
      <c r="C61" s="40">
        <f>D22</f>
        <v>40</v>
      </c>
      <c r="D61" s="25">
        <f>D62*D$39</f>
        <v>42</v>
      </c>
      <c r="E61" s="25">
        <f t="shared" ref="E61" si="18">E62*E$39</f>
        <v>44.1</v>
      </c>
      <c r="F61" s="25">
        <f t="shared" ref="F61" si="19">F62*F$39</f>
        <v>46.305</v>
      </c>
      <c r="G61" s="25">
        <f t="shared" ref="G61" si="20">G62*G$39</f>
        <v>48.620249999999999</v>
      </c>
      <c r="H61" s="25">
        <f t="shared" ref="H61" si="21">H62*H$39</f>
        <v>51.051262500000007</v>
      </c>
    </row>
    <row r="62" spans="1:10" x14ac:dyDescent="0.2">
      <c r="B62" s="36" t="s">
        <v>53</v>
      </c>
      <c r="C62" s="27">
        <f>C61/C$39</f>
        <v>6.6666666666666666E-2</v>
      </c>
      <c r="D62" s="37">
        <f>C62</f>
        <v>6.6666666666666666E-2</v>
      </c>
      <c r="E62" s="37">
        <f t="shared" ref="E62:H62" si="22">D62</f>
        <v>6.6666666666666666E-2</v>
      </c>
      <c r="F62" s="37">
        <f t="shared" si="22"/>
        <v>6.6666666666666666E-2</v>
      </c>
      <c r="G62" s="37">
        <f t="shared" si="22"/>
        <v>6.6666666666666666E-2</v>
      </c>
      <c r="H62" s="37">
        <f t="shared" si="22"/>
        <v>6.6666666666666666E-2</v>
      </c>
    </row>
    <row r="63" spans="1:10" x14ac:dyDescent="0.2">
      <c r="B63" s="8" t="s">
        <v>99</v>
      </c>
      <c r="D63" s="25">
        <f>C61-D61</f>
        <v>-2</v>
      </c>
      <c r="E63" s="25">
        <f t="shared" ref="E63:H63" si="23">D61-E61</f>
        <v>-2.1000000000000014</v>
      </c>
      <c r="F63" s="25">
        <f t="shared" si="23"/>
        <v>-2.2049999999999983</v>
      </c>
      <c r="G63" s="25">
        <f t="shared" si="23"/>
        <v>-2.3152499999999989</v>
      </c>
      <c r="H63" s="25">
        <f t="shared" si="23"/>
        <v>-2.4310125000000085</v>
      </c>
    </row>
    <row r="64" spans="1:10" x14ac:dyDescent="0.2">
      <c r="B64" s="33"/>
    </row>
    <row r="65" spans="1:10" ht="14.25" x14ac:dyDescent="0.2">
      <c r="A65" s="58" t="s">
        <v>20</v>
      </c>
      <c r="B65" s="33" t="s">
        <v>60</v>
      </c>
    </row>
    <row r="66" spans="1:10" x14ac:dyDescent="0.2">
      <c r="B66" s="8" t="s">
        <v>14</v>
      </c>
      <c r="D66" s="25">
        <f>D42</f>
        <v>85.575000000000003</v>
      </c>
      <c r="E66" s="25">
        <f t="shared" ref="E66:H66" si="24">E42</f>
        <v>91.507500000000007</v>
      </c>
      <c r="F66" s="25">
        <f t="shared" si="24"/>
        <v>97.819312500000009</v>
      </c>
      <c r="G66" s="25">
        <f t="shared" si="24"/>
        <v>104.53353750000001</v>
      </c>
      <c r="H66" s="25">
        <f t="shared" si="24"/>
        <v>111.67463671875002</v>
      </c>
    </row>
    <row r="67" spans="1:10" x14ac:dyDescent="0.2">
      <c r="B67" s="8" t="s">
        <v>61</v>
      </c>
      <c r="D67" s="25">
        <f ca="1">-D49</f>
        <v>-18.621400000000001</v>
      </c>
      <c r="E67" s="25">
        <f t="shared" ref="E67:H67" ca="1" si="25">-E49</f>
        <v>-16.085247200000001</v>
      </c>
      <c r="F67" s="25">
        <f t="shared" ca="1" si="25"/>
        <v>-13.174495565600001</v>
      </c>
      <c r="G67" s="25">
        <f t="shared" ca="1" si="25"/>
        <v>-9.854452952748801</v>
      </c>
      <c r="H67" s="25">
        <f t="shared" ca="1" si="25"/>
        <v>-5.4967791246007742</v>
      </c>
    </row>
    <row r="68" spans="1:10" x14ac:dyDescent="0.2">
      <c r="B68" s="8" t="s">
        <v>62</v>
      </c>
      <c r="D68" s="25">
        <f ca="1">-D51</f>
        <v>-11.4884</v>
      </c>
      <c r="E68" s="25">
        <f t="shared" ref="E68:H68" ca="1" si="26">-E51</f>
        <v>-13.343063200000003</v>
      </c>
      <c r="F68" s="25">
        <f t="shared" ca="1" si="26"/>
        <v>-15.373079233600002</v>
      </c>
      <c r="G68" s="25">
        <f t="shared" ca="1" si="26"/>
        <v>-17.592239886812802</v>
      </c>
      <c r="H68" s="25">
        <f t="shared" ca="1" si="26"/>
        <v>-20.16305658603731</v>
      </c>
    </row>
    <row r="69" spans="1:10" x14ac:dyDescent="0.2">
      <c r="B69" s="8" t="s">
        <v>63</v>
      </c>
      <c r="D69" s="25">
        <f>-D58</f>
        <v>-15.75</v>
      </c>
      <c r="E69" s="25">
        <f t="shared" ref="E69:H69" si="27">-E58</f>
        <v>-16.537500000000001</v>
      </c>
      <c r="F69" s="25">
        <f t="shared" si="27"/>
        <v>-17.364375000000003</v>
      </c>
      <c r="G69" s="25">
        <f t="shared" si="27"/>
        <v>-18.232593750000003</v>
      </c>
      <c r="H69" s="25">
        <f t="shared" si="27"/>
        <v>-19.144223437500003</v>
      </c>
    </row>
    <row r="70" spans="1:10" x14ac:dyDescent="0.2">
      <c r="B70" s="8" t="s">
        <v>64</v>
      </c>
      <c r="D70" s="25">
        <f>D63</f>
        <v>-2</v>
      </c>
      <c r="E70" s="25">
        <f t="shared" ref="E70:H70" si="28">E63</f>
        <v>-2.1000000000000014</v>
      </c>
      <c r="F70" s="25">
        <f t="shared" si="28"/>
        <v>-2.2049999999999983</v>
      </c>
      <c r="G70" s="25">
        <f t="shared" si="28"/>
        <v>-2.3152499999999989</v>
      </c>
      <c r="H70" s="25">
        <f t="shared" si="28"/>
        <v>-2.4310125000000085</v>
      </c>
    </row>
    <row r="71" spans="1:10" x14ac:dyDescent="0.2">
      <c r="B71" s="18" t="s">
        <v>60</v>
      </c>
      <c r="C71" s="18"/>
      <c r="D71" s="41">
        <f ca="1">SUM(D66:D70)</f>
        <v>37.715199999999996</v>
      </c>
      <c r="E71" s="41">
        <f t="shared" ref="E71:H71" ca="1" si="29">SUM(E66:E70)</f>
        <v>43.441689600000004</v>
      </c>
      <c r="F71" s="41">
        <f t="shared" ca="1" si="29"/>
        <v>49.702362700800002</v>
      </c>
      <c r="G71" s="41">
        <f t="shared" ca="1" si="29"/>
        <v>56.539000910438396</v>
      </c>
      <c r="H71" s="41">
        <f t="shared" ca="1" si="29"/>
        <v>64.43956507061192</v>
      </c>
    </row>
    <row r="74" spans="1:10" ht="15" x14ac:dyDescent="0.25">
      <c r="A74" s="58" t="s">
        <v>20</v>
      </c>
      <c r="B74" s="57" t="s">
        <v>67</v>
      </c>
      <c r="C74" s="57"/>
      <c r="D74" s="57"/>
      <c r="E74" s="57"/>
      <c r="F74" s="57"/>
      <c r="G74" s="57"/>
      <c r="H74" s="57"/>
      <c r="I74" s="57"/>
      <c r="J74" s="57"/>
    </row>
    <row r="76" spans="1:10" x14ac:dyDescent="0.2">
      <c r="B76" s="34"/>
      <c r="C76" s="34"/>
      <c r="D76" s="35">
        <v>1</v>
      </c>
      <c r="E76" s="35">
        <f>D76+1</f>
        <v>2</v>
      </c>
      <c r="F76" s="35">
        <f t="shared" ref="F76:H76" si="30">E76+1</f>
        <v>3</v>
      </c>
      <c r="G76" s="35">
        <f t="shared" si="30"/>
        <v>4</v>
      </c>
      <c r="H76" s="35">
        <f t="shared" si="30"/>
        <v>5</v>
      </c>
    </row>
    <row r="78" spans="1:10" x14ac:dyDescent="0.2">
      <c r="B78" s="8" t="s">
        <v>68</v>
      </c>
      <c r="D78" s="39">
        <f>$F$15</f>
        <v>4.4999999999999998E-2</v>
      </c>
      <c r="E78" s="39">
        <f>D78</f>
        <v>4.4999999999999998E-2</v>
      </c>
      <c r="F78" s="39">
        <f t="shared" ref="F78:H78" si="31">E78</f>
        <v>4.4999999999999998E-2</v>
      </c>
      <c r="G78" s="39">
        <f t="shared" si="31"/>
        <v>4.4999999999999998E-2</v>
      </c>
      <c r="H78" s="39">
        <f t="shared" si="31"/>
        <v>4.4999999999999998E-2</v>
      </c>
    </row>
    <row r="80" spans="1:10" x14ac:dyDescent="0.2">
      <c r="B80" s="8" t="s">
        <v>69</v>
      </c>
      <c r="D80" s="8">
        <f>$H$31</f>
        <v>15</v>
      </c>
      <c r="E80" s="8">
        <f ca="1">D101</f>
        <v>15</v>
      </c>
      <c r="F80" s="8">
        <f t="shared" ref="F80:H80" ca="1" si="32">E101</f>
        <v>15</v>
      </c>
      <c r="G80" s="8">
        <f t="shared" ca="1" si="32"/>
        <v>15</v>
      </c>
      <c r="H80" s="8">
        <f t="shared" ca="1" si="32"/>
        <v>15</v>
      </c>
    </row>
    <row r="81" spans="2:8" x14ac:dyDescent="0.2">
      <c r="B81" s="8" t="s">
        <v>70</v>
      </c>
      <c r="D81" s="25">
        <f ca="1">D71</f>
        <v>37.715199999999996</v>
      </c>
      <c r="E81" s="25">
        <f t="shared" ref="E81:H81" ca="1" si="33">E71</f>
        <v>43.441689600000004</v>
      </c>
      <c r="F81" s="25">
        <f t="shared" ca="1" si="33"/>
        <v>49.702362700800002</v>
      </c>
      <c r="G81" s="25">
        <f t="shared" ca="1" si="33"/>
        <v>56.539000910438396</v>
      </c>
      <c r="H81" s="25">
        <f t="shared" ca="1" si="33"/>
        <v>64.43956507061192</v>
      </c>
    </row>
    <row r="82" spans="2:8" x14ac:dyDescent="0.2">
      <c r="B82" s="8" t="s">
        <v>71</v>
      </c>
      <c r="D82" s="8">
        <f>-$J$20</f>
        <v>-15</v>
      </c>
      <c r="E82" s="8">
        <f>D82</f>
        <v>-15</v>
      </c>
      <c r="F82" s="8">
        <f t="shared" ref="F82:H82" si="34">E82</f>
        <v>-15</v>
      </c>
      <c r="G82" s="8">
        <f t="shared" si="34"/>
        <v>-15</v>
      </c>
      <c r="H82" s="8">
        <f t="shared" si="34"/>
        <v>-15</v>
      </c>
    </row>
    <row r="83" spans="2:8" x14ac:dyDescent="0.2">
      <c r="B83" s="18" t="s">
        <v>72</v>
      </c>
      <c r="C83" s="18"/>
      <c r="D83" s="42">
        <f ca="1">SUM(D80:D82)</f>
        <v>37.715199999999996</v>
      </c>
      <c r="E83" s="42">
        <f t="shared" ref="E83:H83" ca="1" si="35">SUM(E80:E82)</f>
        <v>43.441689600000004</v>
      </c>
      <c r="F83" s="42">
        <f t="shared" ca="1" si="35"/>
        <v>49.702362700799995</v>
      </c>
      <c r="G83" s="42">
        <f t="shared" ca="1" si="35"/>
        <v>56.539000910438403</v>
      </c>
      <c r="H83" s="42">
        <f t="shared" ca="1" si="35"/>
        <v>64.43956507061192</v>
      </c>
    </row>
    <row r="85" spans="2:8" x14ac:dyDescent="0.2">
      <c r="B85" s="33" t="s">
        <v>28</v>
      </c>
    </row>
    <row r="86" spans="2:8" x14ac:dyDescent="0.2">
      <c r="B86" s="8" t="s">
        <v>73</v>
      </c>
      <c r="D86" s="25">
        <f>C30</f>
        <v>240</v>
      </c>
      <c r="E86" s="25">
        <f ca="1">D88</f>
        <v>202.28480000000002</v>
      </c>
      <c r="F86" s="25">
        <f t="shared" ref="F86:H86" ca="1" si="36">E88</f>
        <v>158.8431104</v>
      </c>
      <c r="G86" s="25">
        <f t="shared" ca="1" si="36"/>
        <v>109.14074769920001</v>
      </c>
      <c r="H86" s="25">
        <f t="shared" ca="1" si="36"/>
        <v>52.601746788761602</v>
      </c>
    </row>
    <row r="87" spans="2:8" x14ac:dyDescent="0.2">
      <c r="B87" s="8" t="s">
        <v>74</v>
      </c>
      <c r="D87" s="43">
        <f ca="1">-MAX(MIN(D86,D83))</f>
        <v>-37.715199999999996</v>
      </c>
      <c r="E87" s="43">
        <f ca="1">-MAX(MIN(E86,E83))</f>
        <v>-43.441689600000004</v>
      </c>
      <c r="F87" s="43">
        <f t="shared" ref="F87:H87" ca="1" si="37">-MAX(MIN(F86,F83))</f>
        <v>-49.702362700799995</v>
      </c>
      <c r="G87" s="43">
        <f t="shared" ca="1" si="37"/>
        <v>-56.539000910438403</v>
      </c>
      <c r="H87" s="43">
        <f t="shared" ca="1" si="37"/>
        <v>-52.601746788761602</v>
      </c>
    </row>
    <row r="88" spans="2:8" x14ac:dyDescent="0.2">
      <c r="B88" s="18" t="s">
        <v>75</v>
      </c>
      <c r="C88" s="18"/>
      <c r="D88" s="41">
        <f ca="1">SUM(D86:D87)</f>
        <v>202.28480000000002</v>
      </c>
      <c r="E88" s="41">
        <f ca="1">SUM(E86:E87)</f>
        <v>158.8431104</v>
      </c>
      <c r="F88" s="41">
        <f t="shared" ref="F88:H88" ca="1" si="38">SUM(F86:F87)</f>
        <v>109.14074769920001</v>
      </c>
      <c r="G88" s="41">
        <f t="shared" ca="1" si="38"/>
        <v>52.601746788761602</v>
      </c>
      <c r="H88" s="41">
        <f t="shared" ca="1" si="38"/>
        <v>0</v>
      </c>
    </row>
    <row r="89" spans="2:8" x14ac:dyDescent="0.2">
      <c r="B89" s="8" t="s">
        <v>55</v>
      </c>
      <c r="D89" s="44">
        <f ca="1">AVERAGE(D86,D88)*(D78+($G$12/10000))</f>
        <v>13.821400000000001</v>
      </c>
      <c r="E89" s="44">
        <f ca="1">AVERAGE(E86,E88)*(E78+($G$12/10000))</f>
        <v>11.285247200000001</v>
      </c>
      <c r="F89" s="44">
        <f ca="1">AVERAGE(F86,F88)*(F78+($G$12/10000))</f>
        <v>8.3744955656000002</v>
      </c>
      <c r="G89" s="44">
        <f ca="1">AVERAGE(G86,G88)*(G78+($G$12/10000))</f>
        <v>5.0544529527488002</v>
      </c>
      <c r="H89" s="44">
        <f ca="1">AVERAGE(H86,H88)*(H78+($G$12/10000))</f>
        <v>1.6438045871488001</v>
      </c>
    </row>
    <row r="91" spans="2:8" x14ac:dyDescent="0.2">
      <c r="B91" s="8" t="s">
        <v>76</v>
      </c>
      <c r="D91" s="43">
        <f ca="1">D83+D87</f>
        <v>0</v>
      </c>
      <c r="E91" s="43">
        <f t="shared" ref="E91:H91" ca="1" si="39">E83+E87</f>
        <v>0</v>
      </c>
      <c r="F91" s="43">
        <f t="shared" ca="1" si="39"/>
        <v>0</v>
      </c>
      <c r="G91" s="43">
        <f t="shared" ca="1" si="39"/>
        <v>0</v>
      </c>
      <c r="H91" s="43">
        <f t="shared" ca="1" si="39"/>
        <v>11.837818281850318</v>
      </c>
    </row>
    <row r="93" spans="2:8" x14ac:dyDescent="0.2">
      <c r="B93" s="33" t="s">
        <v>32</v>
      </c>
    </row>
    <row r="94" spans="2:8" x14ac:dyDescent="0.2">
      <c r="B94" s="8" t="s">
        <v>73</v>
      </c>
      <c r="D94" s="25">
        <f>C31</f>
        <v>30</v>
      </c>
      <c r="E94" s="25">
        <f ca="1">D96</f>
        <v>30</v>
      </c>
      <c r="F94" s="25">
        <f t="shared" ref="F94:H94" ca="1" si="40">E96</f>
        <v>30</v>
      </c>
      <c r="G94" s="25">
        <f t="shared" ca="1" si="40"/>
        <v>30</v>
      </c>
      <c r="H94" s="25">
        <f t="shared" ca="1" si="40"/>
        <v>30</v>
      </c>
    </row>
    <row r="95" spans="2:8" x14ac:dyDescent="0.2">
      <c r="B95" s="8" t="s">
        <v>74</v>
      </c>
      <c r="D95" s="43">
        <f ca="1">-MAX(MIN(D94,D91))</f>
        <v>0</v>
      </c>
      <c r="E95" s="43">
        <f ca="1">-MAX(MIN(E94,E91))</f>
        <v>0</v>
      </c>
      <c r="F95" s="43">
        <f t="shared" ref="F95" ca="1" si="41">-MAX(MIN(F94,F91))</f>
        <v>0</v>
      </c>
      <c r="G95" s="43">
        <f t="shared" ref="G95" ca="1" si="42">-MAX(MIN(G94,G91))</f>
        <v>0</v>
      </c>
      <c r="H95" s="43">
        <f t="shared" ref="H95" ca="1" si="43">-MAX(MIN(H94,H91))</f>
        <v>-11.837818281850318</v>
      </c>
    </row>
    <row r="96" spans="2:8" x14ac:dyDescent="0.2">
      <c r="B96" s="18" t="s">
        <v>75</v>
      </c>
      <c r="C96" s="18"/>
      <c r="D96" s="41">
        <f ca="1">SUM(D94:D95)</f>
        <v>30</v>
      </c>
      <c r="E96" s="41">
        <f ca="1">SUM(E94:E95)</f>
        <v>30</v>
      </c>
      <c r="F96" s="41">
        <f t="shared" ref="F96" ca="1" si="44">SUM(F94:F95)</f>
        <v>30</v>
      </c>
      <c r="G96" s="41">
        <f t="shared" ref="G96" ca="1" si="45">SUM(G94:G95)</f>
        <v>30</v>
      </c>
      <c r="H96" s="41">
        <f t="shared" ref="H96" ca="1" si="46">SUM(H94:H95)</f>
        <v>18.162181718149682</v>
      </c>
    </row>
    <row r="97" spans="1:10" x14ac:dyDescent="0.2">
      <c r="B97" s="8" t="s">
        <v>55</v>
      </c>
      <c r="D97" s="44">
        <f ca="1">AVERAGE(D94,D96)*($G$13)</f>
        <v>4.8</v>
      </c>
      <c r="E97" s="44">
        <f ca="1">AVERAGE(E94,E96)*($G$13)</f>
        <v>4.8</v>
      </c>
      <c r="F97" s="44">
        <f ca="1">AVERAGE(F94,F96)*($G$13)</f>
        <v>4.8</v>
      </c>
      <c r="G97" s="44">
        <f ca="1">AVERAGE(G94,G96)*($G$13)</f>
        <v>4.8</v>
      </c>
      <c r="H97" s="44">
        <f ca="1">AVERAGE(H94,H96)*($G$13)</f>
        <v>3.8529745374519746</v>
      </c>
    </row>
    <row r="99" spans="1:10" x14ac:dyDescent="0.2">
      <c r="B99" s="8" t="s">
        <v>69</v>
      </c>
      <c r="D99" s="8">
        <f>D80</f>
        <v>15</v>
      </c>
      <c r="E99" s="8">
        <f ca="1">D101</f>
        <v>15</v>
      </c>
      <c r="F99" s="8">
        <f t="shared" ref="F99:H99" ca="1" si="47">E101</f>
        <v>15</v>
      </c>
      <c r="G99" s="8">
        <f t="shared" ca="1" si="47"/>
        <v>15</v>
      </c>
      <c r="H99" s="8">
        <f t="shared" ca="1" si="47"/>
        <v>15</v>
      </c>
    </row>
    <row r="100" spans="1:10" x14ac:dyDescent="0.2">
      <c r="B100" s="8" t="s">
        <v>77</v>
      </c>
      <c r="D100" s="43">
        <f ca="1">D83+D87+D95</f>
        <v>0</v>
      </c>
      <c r="E100" s="43">
        <f ca="1">E83+E87+E95</f>
        <v>0</v>
      </c>
      <c r="F100" s="43">
        <f t="shared" ref="F100:H100" ca="1" si="48">F83+F87+F95</f>
        <v>0</v>
      </c>
      <c r="G100" s="43">
        <f t="shared" ca="1" si="48"/>
        <v>0</v>
      </c>
      <c r="H100" s="43">
        <f t="shared" ca="1" si="48"/>
        <v>0</v>
      </c>
    </row>
    <row r="101" spans="1:10" x14ac:dyDescent="0.2">
      <c r="B101" s="8" t="s">
        <v>78</v>
      </c>
      <c r="D101" s="8">
        <f ca="1">SUM(D99:D100)</f>
        <v>15</v>
      </c>
      <c r="E101" s="8">
        <f ca="1">SUM(E99:E100)</f>
        <v>15</v>
      </c>
      <c r="F101" s="8">
        <f t="shared" ref="F101:H101" ca="1" si="49">SUM(F99:F100)</f>
        <v>15</v>
      </c>
      <c r="G101" s="8">
        <f t="shared" ca="1" si="49"/>
        <v>15</v>
      </c>
      <c r="H101" s="8">
        <f t="shared" ca="1" si="49"/>
        <v>15</v>
      </c>
    </row>
    <row r="103" spans="1:10" ht="15" x14ac:dyDescent="0.25">
      <c r="A103" s="58" t="s">
        <v>20</v>
      </c>
      <c r="B103" s="57" t="s">
        <v>79</v>
      </c>
      <c r="C103" s="57"/>
      <c r="D103" s="57"/>
      <c r="E103" s="57"/>
      <c r="F103" s="57"/>
      <c r="G103" s="57"/>
      <c r="H103" s="57"/>
      <c r="I103" s="57"/>
      <c r="J103" s="57"/>
    </row>
    <row r="105" spans="1:10" x14ac:dyDescent="0.2">
      <c r="B105" s="34"/>
      <c r="C105" s="34"/>
      <c r="D105" s="35">
        <v>1</v>
      </c>
      <c r="E105" s="35">
        <f>D105+1</f>
        <v>2</v>
      </c>
      <c r="F105" s="35">
        <f t="shared" ref="F105:H105" si="50">E105+1</f>
        <v>3</v>
      </c>
      <c r="G105" s="35">
        <f t="shared" si="50"/>
        <v>4</v>
      </c>
      <c r="H105" s="35">
        <f t="shared" si="50"/>
        <v>5</v>
      </c>
    </row>
    <row r="107" spans="1:10" x14ac:dyDescent="0.2">
      <c r="B107" s="8" t="s">
        <v>97</v>
      </c>
      <c r="D107" s="25">
        <f ca="1">SUM(D88,D96)</f>
        <v>232.28480000000002</v>
      </c>
      <c r="E107" s="25">
        <f t="shared" ref="E107:H107" ca="1" si="51">SUM(E88,E96)</f>
        <v>188.8431104</v>
      </c>
      <c r="F107" s="25">
        <f t="shared" ca="1" si="51"/>
        <v>139.14074769920001</v>
      </c>
      <c r="G107" s="25">
        <f t="shared" ca="1" si="51"/>
        <v>82.601746788761602</v>
      </c>
      <c r="H107" s="25">
        <f t="shared" ca="1" si="51"/>
        <v>18.162181718149682</v>
      </c>
    </row>
    <row r="108" spans="1:10" x14ac:dyDescent="0.2">
      <c r="B108" s="8" t="s">
        <v>98</v>
      </c>
      <c r="D108" s="44">
        <f ca="1">SUM(D89,D97)</f>
        <v>18.621400000000001</v>
      </c>
      <c r="E108" s="44">
        <f t="shared" ref="E108:H108" ca="1" si="52">SUM(E89,E97)</f>
        <v>16.085247200000001</v>
      </c>
      <c r="F108" s="44">
        <f t="shared" ca="1" si="52"/>
        <v>13.174495565600001</v>
      </c>
      <c r="G108" s="44">
        <f t="shared" ca="1" si="52"/>
        <v>9.854452952748801</v>
      </c>
      <c r="H108" s="44">
        <f t="shared" ca="1" si="52"/>
        <v>5.4967791246007742</v>
      </c>
    </row>
    <row r="110" spans="1:10" x14ac:dyDescent="0.2">
      <c r="B110" s="45" t="s">
        <v>80</v>
      </c>
      <c r="C110" s="45"/>
      <c r="D110" s="46">
        <f ca="1">SUM(D88,D96)/D66</f>
        <v>2.7144002337131172</v>
      </c>
      <c r="E110" s="46">
        <f t="shared" ref="E110:H110" ca="1" si="53">SUM(E88,E96)/E66</f>
        <v>2.0636899751386495</v>
      </c>
      <c r="F110" s="46">
        <f t="shared" ca="1" si="53"/>
        <v>1.4224261461579992</v>
      </c>
      <c r="G110" s="46">
        <f t="shared" ca="1" si="53"/>
        <v>0.79019373843309948</v>
      </c>
      <c r="H110" s="46">
        <f t="shared" ca="1" si="53"/>
        <v>0.16263479561514685</v>
      </c>
    </row>
    <row r="111" spans="1:10" x14ac:dyDescent="0.2">
      <c r="B111" s="8" t="s">
        <v>81</v>
      </c>
      <c r="D111" s="46">
        <f ca="1">(SUM(D88,D96)-D101)/D66</f>
        <v>2.5391153958515922</v>
      </c>
      <c r="E111" s="46">
        <f t="shared" ref="E111:H111" ca="1" si="54">(SUM(E88,E96)-E101)/E66</f>
        <v>1.8997689850558697</v>
      </c>
      <c r="F111" s="46">
        <f t="shared" ca="1" si="54"/>
        <v>1.269082193755962</v>
      </c>
      <c r="G111" s="46">
        <f t="shared" ca="1" si="54"/>
        <v>0.64669912073684099</v>
      </c>
      <c r="H111" s="46">
        <f t="shared" ca="1" si="54"/>
        <v>2.831602422055389E-2</v>
      </c>
    </row>
    <row r="113" spans="1:10" x14ac:dyDescent="0.2">
      <c r="B113" s="8" t="s">
        <v>82</v>
      </c>
      <c r="D113" s="46">
        <f ca="1">D66/SUM(D89,D97)</f>
        <v>4.5955191338997068</v>
      </c>
      <c r="E113" s="46">
        <f t="shared" ref="E113:H113" ca="1" si="55">E66/SUM(E89,E97)</f>
        <v>5.6889085297986588</v>
      </c>
      <c r="F113" s="46">
        <f t="shared" ca="1" si="55"/>
        <v>7.424900028462309</v>
      </c>
      <c r="G113" s="46">
        <f t="shared" ca="1" si="55"/>
        <v>10.6077463661584</v>
      </c>
      <c r="H113" s="46">
        <f t="shared" ca="1" si="55"/>
        <v>20.316376952268541</v>
      </c>
    </row>
    <row r="115" spans="1:10" ht="15" x14ac:dyDescent="0.25">
      <c r="A115" s="58" t="s">
        <v>20</v>
      </c>
      <c r="B115" s="57" t="s">
        <v>83</v>
      </c>
      <c r="C115" s="57"/>
      <c r="D115" s="57"/>
      <c r="E115" s="57"/>
      <c r="F115" s="57"/>
      <c r="G115" s="57"/>
      <c r="H115" s="57"/>
      <c r="I115" s="57"/>
      <c r="J115" s="57"/>
    </row>
    <row r="117" spans="1:10" x14ac:dyDescent="0.2">
      <c r="B117" s="8" t="s">
        <v>84</v>
      </c>
      <c r="H117" s="25">
        <f>H66</f>
        <v>111.67463671875002</v>
      </c>
    </row>
    <row r="118" spans="1:10" x14ac:dyDescent="0.2">
      <c r="B118" s="8" t="s">
        <v>85</v>
      </c>
      <c r="H118" s="26">
        <f>J24</f>
        <v>8</v>
      </c>
    </row>
    <row r="119" spans="1:10" x14ac:dyDescent="0.2">
      <c r="B119" s="29" t="s">
        <v>87</v>
      </c>
      <c r="C119" s="29"/>
      <c r="D119" s="29"/>
      <c r="E119" s="29"/>
      <c r="F119" s="29"/>
      <c r="G119" s="29"/>
      <c r="H119" s="47">
        <f>H117*H118</f>
        <v>893.39709375000018</v>
      </c>
    </row>
    <row r="120" spans="1:10" x14ac:dyDescent="0.2">
      <c r="B120" s="8" t="s">
        <v>86</v>
      </c>
      <c r="H120" s="25">
        <f ca="1">-SUM(H88,H96)-H101</f>
        <v>-33.162181718149682</v>
      </c>
    </row>
    <row r="121" spans="1:10" x14ac:dyDescent="0.2">
      <c r="B121" s="48" t="s">
        <v>88</v>
      </c>
      <c r="C121" s="49"/>
      <c r="D121" s="49"/>
      <c r="E121" s="49"/>
      <c r="F121" s="49"/>
      <c r="G121" s="49"/>
      <c r="H121" s="50">
        <f ca="1">SUM(H119:H120)</f>
        <v>860.23491203185051</v>
      </c>
    </row>
    <row r="122" spans="1:10" x14ac:dyDescent="0.2">
      <c r="B122" s="18" t="s">
        <v>89</v>
      </c>
      <c r="C122" s="18"/>
      <c r="D122" s="18"/>
      <c r="E122" s="18"/>
      <c r="F122" s="18"/>
      <c r="G122" s="18"/>
      <c r="H122" s="42">
        <f ca="1">IF(H121&gt;C32,C32*$J$25)</f>
        <v>10.921875</v>
      </c>
    </row>
    <row r="123" spans="1:10" x14ac:dyDescent="0.2">
      <c r="B123" s="8" t="s">
        <v>91</v>
      </c>
      <c r="H123" s="43">
        <f ca="1">IF(H122&gt;0,-(J25/(1+J25))*SUM(H121:H122),0)</f>
        <v>-41.483656525326211</v>
      </c>
    </row>
    <row r="124" spans="1:10" x14ac:dyDescent="0.2">
      <c r="B124" s="29" t="s">
        <v>92</v>
      </c>
      <c r="C124" s="18"/>
      <c r="D124" s="18"/>
      <c r="E124" s="18"/>
      <c r="F124" s="18"/>
      <c r="G124" s="18"/>
      <c r="H124" s="47">
        <f ca="1">SUM(H121:H123)</f>
        <v>829.67313050652433</v>
      </c>
    </row>
    <row r="126" spans="1:10" x14ac:dyDescent="0.2">
      <c r="B126" s="8" t="s">
        <v>93</v>
      </c>
      <c r="H126" s="28">
        <f>C32</f>
        <v>218.4375</v>
      </c>
    </row>
    <row r="127" spans="1:10" ht="13.5" thickBot="1" x14ac:dyDescent="0.25"/>
    <row r="128" spans="1:10" x14ac:dyDescent="0.2">
      <c r="B128" s="51" t="s">
        <v>94</v>
      </c>
      <c r="C128" s="52"/>
      <c r="D128" s="52"/>
      <c r="E128" s="52"/>
      <c r="F128" s="52"/>
      <c r="G128" s="52"/>
      <c r="H128" s="53">
        <f ca="1">H124/H126</f>
        <v>3.7982174787137022</v>
      </c>
    </row>
    <row r="129" spans="2:8" ht="13.5" thickBot="1" x14ac:dyDescent="0.25">
      <c r="B129" s="54" t="s">
        <v>95</v>
      </c>
      <c r="C129" s="55"/>
      <c r="D129" s="55"/>
      <c r="E129" s="55"/>
      <c r="F129" s="55"/>
      <c r="G129" s="55"/>
      <c r="H129" s="56">
        <f ca="1">H128^(1/5)-1</f>
        <v>0.30591817326790238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Prompt</vt:lpstr>
      <vt:lpstr>Response</vt:lpstr>
      <vt:lpstr>Example Answer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schmitt</dc:creator>
  <cp:lastModifiedBy>Lauren Schmitt</cp:lastModifiedBy>
  <dcterms:created xsi:type="dcterms:W3CDTF">2025-03-09T13:10:01Z</dcterms:created>
  <dcterms:modified xsi:type="dcterms:W3CDTF">2025-04-29T13:11:56Z</dcterms:modified>
</cp:coreProperties>
</file>