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estonnurseriescom-my.sharepoint.com/personal/laurens_westonnurseries_com/Documents/Desktop/Lauren/EJ/"/>
    </mc:Choice>
  </mc:AlternateContent>
  <xr:revisionPtr revIDLastSave="0" documentId="8_{D47ECE1A-0A05-42F4-A363-ADD9908B354A}" xr6:coauthVersionLast="47" xr6:coauthVersionMax="47" xr10:uidLastSave="{00000000-0000-0000-0000-000000000000}"/>
  <bookViews>
    <workbookView xWindow="1425" yWindow="600" windowWidth="14835" windowHeight="14925" xr2:uid="{012412DB-F9BF-416B-90C4-F6D3CD6B0A5C}"/>
  </bookViews>
  <sheets>
    <sheet name="DCF" sheetId="2" r:id="rId1"/>
    <sheet name="TSM" sheetId="1" r:id="rId2"/>
    <sheet name="WACC" sheetId="3" r:id="rId3"/>
    <sheet name="Beta Determination" sheetId="4" r:id="rId4"/>
  </sheets>
  <externalReferences>
    <externalReference r:id="rId5"/>
  </externalReferences>
  <calcPr calcId="191029" iterate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4" l="1"/>
  <c r="F14" i="4"/>
  <c r="G14" i="4"/>
  <c r="H14" i="4"/>
  <c r="F15" i="4"/>
  <c r="H15" i="4" s="1"/>
  <c r="G15" i="4"/>
  <c r="F16" i="4"/>
  <c r="G16" i="4"/>
  <c r="H16" i="4"/>
  <c r="F17" i="4"/>
  <c r="G17" i="4"/>
  <c r="H17" i="4"/>
  <c r="F18" i="4"/>
  <c r="G18" i="4"/>
  <c r="H18" i="4"/>
  <c r="F19" i="4"/>
  <c r="G19" i="4"/>
  <c r="H19" i="4"/>
  <c r="C21" i="4"/>
  <c r="E21" i="4"/>
  <c r="C22" i="4"/>
  <c r="E22" i="4"/>
  <c r="E16" i="3"/>
  <c r="E21" i="3"/>
  <c r="E22" i="3"/>
  <c r="D23" i="3"/>
  <c r="E23" i="3"/>
  <c r="D19" i="2"/>
  <c r="E19" i="2"/>
  <c r="F19" i="2"/>
  <c r="G19" i="2" s="1"/>
  <c r="H19" i="2" s="1"/>
  <c r="I20" i="2"/>
  <c r="D21" i="2"/>
  <c r="E21" i="2"/>
  <c r="F21" i="2"/>
  <c r="G21" i="2"/>
  <c r="H21" i="2"/>
  <c r="I23" i="2"/>
  <c r="C24" i="2"/>
  <c r="D24" i="2"/>
  <c r="E24" i="2"/>
  <c r="F24" i="2"/>
  <c r="G24" i="2"/>
  <c r="H24" i="2"/>
  <c r="I27" i="2"/>
  <c r="I28" i="2"/>
  <c r="I26" i="2" s="1"/>
  <c r="I30" i="2" s="1"/>
  <c r="I31" i="2" s="1"/>
  <c r="C41" i="2" s="1"/>
  <c r="C42" i="2" s="1"/>
  <c r="I29" i="2"/>
  <c r="D30" i="2"/>
  <c r="D31" i="2" s="1"/>
  <c r="E30" i="2"/>
  <c r="E31" i="2" s="1"/>
  <c r="F30" i="2"/>
  <c r="G30" i="2"/>
  <c r="H30" i="2"/>
  <c r="F31" i="2"/>
  <c r="G31" i="2"/>
  <c r="H31" i="2"/>
  <c r="D33" i="2"/>
  <c r="E33" i="2"/>
  <c r="F33" i="2"/>
  <c r="G33" i="2"/>
  <c r="H33" i="2"/>
  <c r="H34" i="2" s="1"/>
  <c r="H35" i="2" s="1"/>
  <c r="I33" i="2"/>
  <c r="I34" i="2" s="1"/>
  <c r="D34" i="2"/>
  <c r="E34" i="2"/>
  <c r="F34" i="2"/>
  <c r="F35" i="2" s="1"/>
  <c r="G34" i="2"/>
  <c r="G35" i="2" s="1"/>
  <c r="C38" i="2"/>
  <c r="C39" i="2"/>
  <c r="C47" i="2"/>
  <c r="C52" i="2"/>
  <c r="C8" i="1"/>
  <c r="C9" i="1" s="1"/>
  <c r="E14" i="1" s="1"/>
  <c r="F14" i="1" s="1"/>
  <c r="E15" i="1"/>
  <c r="F15" i="1" s="1"/>
  <c r="E16" i="1"/>
  <c r="D27" i="1"/>
  <c r="G27" i="1"/>
  <c r="H27" i="1"/>
  <c r="C16" i="1" s="1"/>
  <c r="C19" i="1" s="1"/>
  <c r="E35" i="2" l="1"/>
  <c r="F16" i="1"/>
  <c r="F19" i="1" s="1"/>
  <c r="F21" i="1" s="1"/>
  <c r="F22" i="1" s="1"/>
  <c r="F23" i="1" s="1"/>
  <c r="D35" i="2"/>
  <c r="C44" i="2" s="1"/>
  <c r="C40" i="2"/>
  <c r="C45" i="2" s="1"/>
  <c r="I35" i="2"/>
  <c r="D11" i="4" l="1"/>
  <c r="C49" i="2"/>
  <c r="C46" i="2"/>
  <c r="C48" i="2" s="1"/>
  <c r="C50" i="2" l="1"/>
  <c r="C53" i="2" s="1"/>
  <c r="D22" i="4"/>
  <c r="D21" i="4"/>
  <c r="F11" i="4"/>
  <c r="G11" i="4"/>
  <c r="G22" i="4" l="1"/>
  <c r="G21" i="4"/>
  <c r="F22" i="4"/>
  <c r="H25" i="4" s="1"/>
  <c r="E32" i="3" s="1"/>
  <c r="F21" i="4"/>
  <c r="H11" i="4"/>
  <c r="H22" i="4" l="1"/>
  <c r="H24" i="4" s="1"/>
  <c r="H21" i="4"/>
  <c r="D32" i="3"/>
  <c r="D33" i="3" s="1"/>
  <c r="D18" i="3" s="1"/>
  <c r="E33" i="3"/>
  <c r="E18" i="3" s="1"/>
  <c r="E24" i="3" l="1"/>
  <c r="E25" i="3" s="1"/>
  <c r="D24" i="3"/>
  <c r="D25" i="3" s="1"/>
  <c r="D14" i="3"/>
  <c r="E14" i="3" s="1"/>
  <c r="H26" i="4"/>
  <c r="D13" i="3" s="1"/>
  <c r="D15" i="3" l="1"/>
  <c r="D17" i="3" s="1"/>
  <c r="D19" i="3" s="1"/>
  <c r="D27" i="3" s="1"/>
  <c r="E13" i="3"/>
  <c r="E15" i="3" s="1"/>
  <c r="E17" i="3" s="1"/>
  <c r="E19" i="3" s="1"/>
  <c r="E27" i="3" s="1"/>
  <c r="D2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eric schmitt</author>
  </authors>
  <commentList>
    <comment ref="D16" authorId="0" shapeId="0" xr:uid="{9E73EADE-F426-448B-AE8F-2C74FEFB6EC1}">
      <text>
        <r>
          <rPr>
            <b/>
            <sz val="9"/>
            <color indexed="81"/>
            <rFont val="Tahoma"/>
            <family val="2"/>
          </rPr>
          <t>eric schmitt:</t>
        </r>
        <r>
          <rPr>
            <sz val="9"/>
            <color indexed="81"/>
            <rFont val="Tahoma"/>
            <family val="2"/>
          </rPr>
          <t xml:space="preserve">
https://home.treasury.gov/resource-center/data-chart-center/interest-rates/TextView?type=daily_treasury_yield_curve&amp;field_tdr_date_value_month=202504</t>
        </r>
      </text>
    </comment>
    <comment ref="D21" authorId="0" shapeId="0" xr:uid="{F504C33F-F4A5-4CA9-BFA5-8CDDC8DDE586}">
      <text>
        <r>
          <rPr>
            <b/>
            <sz val="9"/>
            <color indexed="81"/>
            <rFont val="Tahoma"/>
            <family val="2"/>
          </rPr>
          <t>eric schmitt:</t>
        </r>
        <r>
          <rPr>
            <sz val="9"/>
            <color indexed="81"/>
            <rFont val="Tahoma"/>
            <family val="2"/>
          </rPr>
          <t xml:space="preserve">
assumption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eric schmitt</author>
  </authors>
  <commentList>
    <comment ref="J11" authorId="0" shapeId="0" xr:uid="{93570C14-AFCF-4EAF-A891-83E2523C77A6}">
      <text>
        <r>
          <rPr>
            <b/>
            <sz val="9"/>
            <color indexed="81"/>
            <rFont val="Tahoma"/>
            <family val="2"/>
          </rPr>
          <t>eric schmitt:</t>
        </r>
        <r>
          <rPr>
            <sz val="9"/>
            <color indexed="81"/>
            <rFont val="Tahoma"/>
            <family val="2"/>
          </rPr>
          <t xml:space="preserve">
US corp tax marginal</t>
        </r>
      </text>
    </comment>
    <comment ref="J14" authorId="0" shapeId="0" xr:uid="{0512C272-7499-4482-8FAD-926F10721E1C}">
      <text>
        <r>
          <rPr>
            <b/>
            <sz val="9"/>
            <color indexed="81"/>
            <rFont val="Tahoma"/>
            <family val="2"/>
          </rPr>
          <t>eric schmitt:</t>
        </r>
        <r>
          <rPr>
            <sz val="9"/>
            <color indexed="81"/>
            <rFont val="Tahoma"/>
            <family val="2"/>
          </rPr>
          <t xml:space="preserve">
US corp tax marginal</t>
        </r>
      </text>
    </comment>
    <comment ref="J15" authorId="0" shapeId="0" xr:uid="{1D3A6895-6D1F-4970-BF64-8D5C1A1B1338}">
      <text>
        <r>
          <rPr>
            <b/>
            <sz val="9"/>
            <color indexed="81"/>
            <rFont val="Tahoma"/>
            <family val="2"/>
          </rPr>
          <t>eric schmitt:</t>
        </r>
        <r>
          <rPr>
            <sz val="9"/>
            <color indexed="81"/>
            <rFont val="Tahoma"/>
            <family val="2"/>
          </rPr>
          <t xml:space="preserve">
US corp tax marginal</t>
        </r>
      </text>
    </comment>
    <comment ref="J16" authorId="0" shapeId="0" xr:uid="{3303982D-AC6A-463E-83EE-7AA1637A0A07}">
      <text>
        <r>
          <rPr>
            <b/>
            <sz val="9"/>
            <color indexed="81"/>
            <rFont val="Tahoma"/>
            <family val="2"/>
          </rPr>
          <t>eric schmitt:</t>
        </r>
        <r>
          <rPr>
            <sz val="9"/>
            <color indexed="81"/>
            <rFont val="Tahoma"/>
            <family val="2"/>
          </rPr>
          <t xml:space="preserve">
US corp tax marginal</t>
        </r>
      </text>
    </comment>
    <comment ref="J17" authorId="0" shapeId="0" xr:uid="{488E12C7-F817-4B16-AC6C-CDE4B9662518}">
      <text>
        <r>
          <rPr>
            <b/>
            <sz val="9"/>
            <color indexed="81"/>
            <rFont val="Tahoma"/>
            <family val="2"/>
          </rPr>
          <t>eric schmitt:</t>
        </r>
        <r>
          <rPr>
            <sz val="9"/>
            <color indexed="81"/>
            <rFont val="Tahoma"/>
            <family val="2"/>
          </rPr>
          <t xml:space="preserve">
US corp tax marginal</t>
        </r>
      </text>
    </comment>
    <comment ref="J18" authorId="0" shapeId="0" xr:uid="{AB766F6E-5FDD-4FA9-B6A1-3831BF7E73FF}">
      <text>
        <r>
          <rPr>
            <b/>
            <sz val="9"/>
            <color indexed="81"/>
            <rFont val="Tahoma"/>
            <family val="2"/>
          </rPr>
          <t>eric schmitt:</t>
        </r>
        <r>
          <rPr>
            <sz val="9"/>
            <color indexed="81"/>
            <rFont val="Tahoma"/>
            <family val="2"/>
          </rPr>
          <t xml:space="preserve">
US corp tax marginal</t>
        </r>
      </text>
    </comment>
    <comment ref="J19" authorId="0" shapeId="0" xr:uid="{6846396F-2A5E-4C03-8FE6-9BD257F68620}">
      <text>
        <r>
          <rPr>
            <b/>
            <sz val="9"/>
            <color indexed="81"/>
            <rFont val="Tahoma"/>
            <family val="2"/>
          </rPr>
          <t>eric schmitt:</t>
        </r>
        <r>
          <rPr>
            <sz val="9"/>
            <color indexed="81"/>
            <rFont val="Tahoma"/>
            <family val="2"/>
          </rPr>
          <t xml:space="preserve">
US corp tax marginal</t>
        </r>
      </text>
    </comment>
  </commentList>
</comments>
</file>

<file path=xl/sharedStrings.xml><?xml version="1.0" encoding="utf-8"?>
<sst xmlns="http://schemas.openxmlformats.org/spreadsheetml/2006/main" count="113" uniqueCount="107">
  <si>
    <t>June 2026 Notes</t>
  </si>
  <si>
    <t># Shares</t>
  </si>
  <si>
    <t>Notes</t>
  </si>
  <si>
    <t>Par</t>
  </si>
  <si>
    <t>Conversion Price</t>
  </si>
  <si>
    <t>Conversion rate</t>
  </si>
  <si>
    <t>Principal</t>
  </si>
  <si>
    <t>Convertible</t>
  </si>
  <si>
    <t>FDSO</t>
  </si>
  <si>
    <t>Shares Issued</t>
  </si>
  <si>
    <t>Shares Repod</t>
  </si>
  <si>
    <t>Total</t>
  </si>
  <si>
    <t>Convertibles</t>
  </si>
  <si>
    <t>RSUs</t>
  </si>
  <si>
    <t>Options</t>
  </si>
  <si>
    <t>Proceeds</t>
  </si>
  <si>
    <t>In / Out</t>
  </si>
  <si>
    <t>WAEP</t>
  </si>
  <si>
    <t>Option</t>
  </si>
  <si>
    <t>Securities</t>
  </si>
  <si>
    <t>Basic Shares</t>
  </si>
  <si>
    <t>Taekout Price</t>
  </si>
  <si>
    <t>Takeout Premium</t>
  </si>
  <si>
    <t>Current Share Price</t>
  </si>
  <si>
    <t>Ticker: CAKE</t>
  </si>
  <si>
    <t>TSM Build</t>
  </si>
  <si>
    <t>Implied Premium/ (Discount) to Current</t>
  </si>
  <si>
    <t>Implied DCF Value Per Share</t>
  </si>
  <si>
    <t>Implied Equity Value</t>
  </si>
  <si>
    <t>Less: Net Debt</t>
  </si>
  <si>
    <t>Implied Enterprise Value</t>
  </si>
  <si>
    <t>Present Valuye of Terminal Value</t>
  </si>
  <si>
    <t>Present Value of Projection Period</t>
  </si>
  <si>
    <t>Terminal Value</t>
  </si>
  <si>
    <t xml:space="preserve">Free Cash Flow in Terminal Year </t>
  </si>
  <si>
    <t>Discount Factor for TV</t>
  </si>
  <si>
    <t>Perpetuity Growth Rate</t>
  </si>
  <si>
    <t>Discount Rate</t>
  </si>
  <si>
    <t>Perpetuity Growth Methodology</t>
  </si>
  <si>
    <t>PV of Frtee Cash Flows</t>
  </si>
  <si>
    <t>Discount Factor</t>
  </si>
  <si>
    <t>Discount Period</t>
  </si>
  <si>
    <t>Stubbed UFCF</t>
  </si>
  <si>
    <t>Unlevered Free Cash Flow</t>
  </si>
  <si>
    <t>Less: Change in NWC</t>
  </si>
  <si>
    <t>Less: CapEx</t>
  </si>
  <si>
    <t>Less: Cash Taxes</t>
  </si>
  <si>
    <t>Plus D&amp;A</t>
  </si>
  <si>
    <t>Margin</t>
  </si>
  <si>
    <t>EBIT</t>
  </si>
  <si>
    <t>Growth</t>
  </si>
  <si>
    <t>Revenue</t>
  </si>
  <si>
    <t>TY</t>
  </si>
  <si>
    <t>Discounted Cash Flow Analysis</t>
  </si>
  <si>
    <t>PGR</t>
  </si>
  <si>
    <t>WACC</t>
  </si>
  <si>
    <t>Tax Rate</t>
  </si>
  <si>
    <t>End</t>
  </si>
  <si>
    <t>Stub Period</t>
  </si>
  <si>
    <t>Value Date</t>
  </si>
  <si>
    <t>Assumptions</t>
  </si>
  <si>
    <t>DCF Model</t>
  </si>
  <si>
    <t>D/(D+E)</t>
  </si>
  <si>
    <t>D/E</t>
  </si>
  <si>
    <t>Memo:</t>
  </si>
  <si>
    <t>Prospective WACC Range</t>
  </si>
  <si>
    <t>Cost of Debt Portion</t>
  </si>
  <si>
    <t>Multiplied by: Prospective D/(D+E)</t>
  </si>
  <si>
    <t>After Tax Cost of Debt</t>
  </si>
  <si>
    <t>Assumed Tax Rate</t>
  </si>
  <si>
    <t>Assumed Cost of Debt (kd)</t>
  </si>
  <si>
    <t>Cost of Equity Portion</t>
  </si>
  <si>
    <t>Multiply by: Prospective E/ (D+E)</t>
  </si>
  <si>
    <t>Illustrative Prospective Cost of Equity</t>
  </si>
  <si>
    <t>Add: Risk Free Rate of Return</t>
  </si>
  <si>
    <t>Adjusted Prospective US Equity Risk Premium</t>
  </si>
  <si>
    <t>Corresponding Prospective Unlevered Equity Beta</t>
  </si>
  <si>
    <t>Multiplied by: Prospective Levered Equity Beta</t>
  </si>
  <si>
    <t>Prospective US Equity Risk Premium</t>
  </si>
  <si>
    <t>High</t>
  </si>
  <si>
    <t>Low</t>
  </si>
  <si>
    <t>Prospective Cost of Equity and WACC</t>
  </si>
  <si>
    <t>WAC Calculation</t>
  </si>
  <si>
    <t>WACC Build</t>
  </si>
  <si>
    <t xml:space="preserve">Reference Range - Prospective Levered Equity Beta </t>
  </si>
  <si>
    <t>Target Debt/Equity Ratio</t>
  </si>
  <si>
    <t>Reference range - Prospective Unlevered Equity Beta</t>
  </si>
  <si>
    <t>Median</t>
  </si>
  <si>
    <t>Mean</t>
  </si>
  <si>
    <t>Chipotle</t>
  </si>
  <si>
    <t>Dominos</t>
  </si>
  <si>
    <t>Darden Restaurants</t>
  </si>
  <si>
    <t>McDonalds</t>
  </si>
  <si>
    <t>Starbucks</t>
  </si>
  <si>
    <t>Yum! Brands</t>
  </si>
  <si>
    <t>Peers</t>
  </si>
  <si>
    <t>Cheescake Factory</t>
  </si>
  <si>
    <t>5-year</t>
  </si>
  <si>
    <t>D / E</t>
  </si>
  <si>
    <t>5-Year</t>
  </si>
  <si>
    <t>Company</t>
  </si>
  <si>
    <t>Leverage Ratios</t>
  </si>
  <si>
    <t>Total Debt + Preferred Stock</t>
  </si>
  <si>
    <t>Market Value of Common Equity</t>
  </si>
  <si>
    <t>Beta</t>
  </si>
  <si>
    <t>Beta Determination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</si>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</sst>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00_);_(* \(#,##0.000\);_(* &quot;-&quot;??_);_(@_)"/>
    <numFmt numFmtId="167" formatCode="0&quot;A&quot;"/>
    <numFmt numFmtId="168" formatCode="0&quot;E&quot;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66FF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2ABBFC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i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2ABBF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auto="1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6">
    <xf numFmtId="0" fontId="0" fillId="0" borderId="0" xfId="0"/>
    <xf numFmtId="43" fontId="0" fillId="0" borderId="0" xfId="0" applyNumberFormat="1"/>
    <xf numFmtId="164" fontId="0" fillId="0" borderId="0" xfId="0" applyNumberFormat="1"/>
    <xf numFmtId="164" fontId="0" fillId="0" borderId="0" xfId="1" applyNumberFormat="1" applyFont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0" fillId="0" borderId="5" xfId="0" applyBorder="1"/>
    <xf numFmtId="0" fontId="4" fillId="3" borderId="0" xfId="0" applyFont="1" applyFill="1"/>
    <xf numFmtId="9" fontId="4" fillId="0" borderId="0" xfId="2" applyFont="1" applyFill="1"/>
    <xf numFmtId="0" fontId="5" fillId="0" borderId="0" xfId="0" applyFont="1"/>
    <xf numFmtId="0" fontId="3" fillId="0" borderId="0" xfId="0" applyFont="1"/>
    <xf numFmtId="0" fontId="6" fillId="0" borderId="0" xfId="0" applyFont="1"/>
    <xf numFmtId="9" fontId="6" fillId="0" borderId="6" xfId="2" applyFont="1" applyBorder="1"/>
    <xf numFmtId="0" fontId="6" fillId="0" borderId="7" xfId="0" applyFont="1" applyBorder="1"/>
    <xf numFmtId="0" fontId="7" fillId="0" borderId="0" xfId="0" applyFont="1"/>
    <xf numFmtId="43" fontId="6" fillId="0" borderId="0" xfId="1" applyFont="1"/>
    <xf numFmtId="164" fontId="7" fillId="0" borderId="8" xfId="0" applyNumberFormat="1" applyFont="1" applyBorder="1"/>
    <xf numFmtId="0" fontId="7" fillId="0" borderId="8" xfId="0" applyFont="1" applyBorder="1"/>
    <xf numFmtId="164" fontId="6" fillId="0" borderId="0" xfId="1" applyNumberFormat="1" applyFont="1"/>
    <xf numFmtId="164" fontId="6" fillId="0" borderId="0" xfId="0" applyNumberFormat="1" applyFont="1"/>
    <xf numFmtId="43" fontId="7" fillId="0" borderId="5" xfId="0" applyNumberFormat="1" applyFont="1" applyBorder="1"/>
    <xf numFmtId="0" fontId="7" fillId="0" borderId="5" xfId="0" applyFont="1" applyBorder="1"/>
    <xf numFmtId="43" fontId="6" fillId="0" borderId="0" xfId="0" applyNumberFormat="1" applyFont="1"/>
    <xf numFmtId="9" fontId="6" fillId="0" borderId="0" xfId="0" applyNumberFormat="1" applyFont="1"/>
    <xf numFmtId="164" fontId="6" fillId="0" borderId="9" xfId="1" applyNumberFormat="1" applyFont="1" applyBorder="1"/>
    <xf numFmtId="0" fontId="6" fillId="0" borderId="9" xfId="0" applyFont="1" applyBorder="1"/>
    <xf numFmtId="0" fontId="6" fillId="0" borderId="10" xfId="0" applyFont="1" applyBorder="1"/>
    <xf numFmtId="164" fontId="6" fillId="0" borderId="11" xfId="1" applyNumberFormat="1" applyFont="1" applyBorder="1"/>
    <xf numFmtId="164" fontId="6" fillId="0" borderId="8" xfId="1" applyNumberFormat="1" applyFont="1" applyBorder="1"/>
    <xf numFmtId="0" fontId="6" fillId="0" borderId="6" xfId="0" applyFont="1" applyBorder="1"/>
    <xf numFmtId="0" fontId="6" fillId="0" borderId="8" xfId="0" applyFont="1" applyBorder="1"/>
    <xf numFmtId="164" fontId="6" fillId="0" borderId="12" xfId="0" applyNumberFormat="1" applyFont="1" applyBorder="1"/>
    <xf numFmtId="0" fontId="6" fillId="0" borderId="1" xfId="0" applyFont="1" applyBorder="1"/>
    <xf numFmtId="164" fontId="6" fillId="0" borderId="9" xfId="0" applyNumberFormat="1" applyFont="1" applyBorder="1"/>
    <xf numFmtId="164" fontId="6" fillId="0" borderId="10" xfId="1" applyNumberFormat="1" applyFont="1" applyBorder="1"/>
    <xf numFmtId="9" fontId="6" fillId="0" borderId="0" xfId="2" applyFont="1"/>
    <xf numFmtId="9" fontId="6" fillId="0" borderId="0" xfId="2" applyFont="1" applyBorder="1"/>
    <xf numFmtId="9" fontId="6" fillId="0" borderId="10" xfId="2" applyFont="1" applyBorder="1"/>
    <xf numFmtId="9" fontId="9" fillId="3" borderId="0" xfId="0" applyNumberFormat="1" applyFont="1" applyFill="1"/>
    <xf numFmtId="14" fontId="9" fillId="3" borderId="0" xfId="0" applyNumberFormat="1" applyFont="1" applyFill="1"/>
    <xf numFmtId="0" fontId="10" fillId="0" borderId="0" xfId="0" applyFont="1"/>
    <xf numFmtId="9" fontId="6" fillId="0" borderId="0" xfId="2" applyFont="1" applyFill="1" applyBorder="1"/>
    <xf numFmtId="43" fontId="6" fillId="0" borderId="0" xfId="1" applyFont="1" applyFill="1" applyBorder="1"/>
    <xf numFmtId="164" fontId="7" fillId="0" borderId="0" xfId="0" applyNumberFormat="1" applyFont="1"/>
    <xf numFmtId="164" fontId="6" fillId="0" borderId="0" xfId="1" applyNumberFormat="1" applyFont="1" applyFill="1" applyBorder="1"/>
    <xf numFmtId="43" fontId="7" fillId="0" borderId="0" xfId="0" applyNumberFormat="1" applyFont="1"/>
    <xf numFmtId="10" fontId="6" fillId="0" borderId="0" xfId="2" applyNumberFormat="1" applyFont="1" applyFill="1" applyBorder="1"/>
    <xf numFmtId="10" fontId="7" fillId="0" borderId="2" xfId="2" applyNumberFormat="1" applyFont="1" applyFill="1" applyBorder="1"/>
    <xf numFmtId="10" fontId="7" fillId="0" borderId="3" xfId="2" applyNumberFormat="1" applyFont="1" applyFill="1" applyBorder="1"/>
    <xf numFmtId="164" fontId="7" fillId="0" borderId="3" xfId="1" applyNumberFormat="1" applyFont="1" applyFill="1" applyBorder="1"/>
    <xf numFmtId="0" fontId="7" fillId="0" borderId="4" xfId="0" applyFont="1" applyBorder="1"/>
    <xf numFmtId="165" fontId="7" fillId="0" borderId="0" xfId="2" applyNumberFormat="1" applyFont="1" applyFill="1" applyBorder="1"/>
    <xf numFmtId="0" fontId="6" fillId="0" borderId="0" xfId="0" applyFont="1" applyAlignment="1">
      <alignment horizontal="left" indent="1"/>
    </xf>
    <xf numFmtId="9" fontId="7" fillId="0" borderId="0" xfId="0" applyNumberFormat="1" applyFont="1"/>
    <xf numFmtId="10" fontId="6" fillId="0" borderId="5" xfId="2" applyNumberFormat="1" applyFont="1" applyFill="1" applyBorder="1"/>
    <xf numFmtId="10" fontId="7" fillId="0" borderId="5" xfId="0" applyNumberFormat="1" applyFont="1" applyBorder="1"/>
    <xf numFmtId="10" fontId="6" fillId="0" borderId="0" xfId="0" applyNumberFormat="1" applyFont="1"/>
    <xf numFmtId="166" fontId="6" fillId="0" borderId="0" xfId="1" applyNumberFormat="1" applyFont="1" applyFill="1" applyBorder="1"/>
    <xf numFmtId="0" fontId="6" fillId="4" borderId="1" xfId="0" applyFont="1" applyFill="1" applyBorder="1"/>
    <xf numFmtId="0" fontId="6" fillId="4" borderId="0" xfId="0" applyFont="1" applyFill="1"/>
    <xf numFmtId="0" fontId="8" fillId="5" borderId="0" xfId="0" applyFont="1" applyFill="1"/>
    <xf numFmtId="0" fontId="8" fillId="0" borderId="0" xfId="0" applyFont="1"/>
    <xf numFmtId="0" fontId="11" fillId="0" borderId="0" xfId="0" applyFont="1"/>
    <xf numFmtId="0" fontId="12" fillId="0" borderId="0" xfId="0" applyFont="1"/>
    <xf numFmtId="166" fontId="6" fillId="0" borderId="0" xfId="0" applyNumberFormat="1" applyFont="1"/>
    <xf numFmtId="9" fontId="6" fillId="3" borderId="0" xfId="0" applyNumberFormat="1" applyFont="1" applyFill="1"/>
    <xf numFmtId="164" fontId="15" fillId="0" borderId="0" xfId="1" applyNumberFormat="1" applyFont="1" applyFill="1" applyBorder="1"/>
    <xf numFmtId="166" fontId="9" fillId="0" borderId="0" xfId="1" applyNumberFormat="1" applyFont="1" applyFill="1" applyBorder="1"/>
    <xf numFmtId="166" fontId="8" fillId="2" borderId="1" xfId="0" applyNumberFormat="1" applyFont="1" applyFill="1" applyBorder="1"/>
    <xf numFmtId="0" fontId="8" fillId="2" borderId="1" xfId="0" applyFont="1" applyFill="1" applyBorder="1"/>
    <xf numFmtId="166" fontId="8" fillId="2" borderId="1" xfId="1" applyNumberFormat="1" applyFont="1" applyFill="1" applyBorder="1"/>
    <xf numFmtId="0" fontId="15" fillId="0" borderId="0" xfId="0" applyFont="1"/>
    <xf numFmtId="9" fontId="9" fillId="0" borderId="0" xfId="0" applyNumberFormat="1" applyFont="1"/>
    <xf numFmtId="0" fontId="8" fillId="5" borderId="1" xfId="0" applyFont="1" applyFill="1" applyBorder="1"/>
    <xf numFmtId="0" fontId="16" fillId="5" borderId="1" xfId="0" applyFont="1" applyFill="1" applyBorder="1"/>
    <xf numFmtId="0" fontId="16" fillId="2" borderId="1" xfId="0" applyFont="1" applyFill="1" applyBorder="1"/>
    <xf numFmtId="167" fontId="16" fillId="2" borderId="1" xfId="0" applyNumberFormat="1" applyFont="1" applyFill="1" applyBorder="1"/>
    <xf numFmtId="168" fontId="16" fillId="2" borderId="1" xfId="0" applyNumberFormat="1" applyFont="1" applyFill="1" applyBorder="1"/>
    <xf numFmtId="0" fontId="7" fillId="4" borderId="0" xfId="0" applyFont="1" applyFill="1"/>
    <xf numFmtId="14" fontId="12" fillId="4" borderId="0" xfId="0" applyNumberFormat="1" applyFont="1" applyFill="1"/>
    <xf numFmtId="0" fontId="12" fillId="4" borderId="0" xfId="0" applyFont="1" applyFill="1" applyAlignment="1">
      <alignment wrapText="1"/>
    </xf>
    <xf numFmtId="0" fontId="7" fillId="4" borderId="0" xfId="0" applyFont="1" applyFill="1" applyAlignment="1">
      <alignment wrapText="1"/>
    </xf>
    <xf numFmtId="0" fontId="7" fillId="4" borderId="21" xfId="0" applyFont="1" applyFill="1" applyBorder="1"/>
    <xf numFmtId="14" fontId="12" fillId="4" borderId="20" xfId="0" applyNumberFormat="1" applyFont="1" applyFill="1" applyBorder="1"/>
    <xf numFmtId="0" fontId="12" fillId="4" borderId="20" xfId="0" applyFont="1" applyFill="1" applyBorder="1" applyAlignment="1">
      <alignment wrapText="1"/>
    </xf>
    <xf numFmtId="0" fontId="7" fillId="4" borderId="20" xfId="0" applyFont="1" applyFill="1" applyBorder="1" applyAlignment="1">
      <alignment wrapText="1"/>
    </xf>
    <xf numFmtId="0" fontId="7" fillId="4" borderId="20" xfId="0" applyFont="1" applyFill="1" applyBorder="1"/>
    <xf numFmtId="0" fontId="7" fillId="4" borderId="19" xfId="0" applyFont="1" applyFill="1" applyBorder="1"/>
    <xf numFmtId="0" fontId="12" fillId="4" borderId="0" xfId="0" applyFont="1" applyFill="1"/>
    <xf numFmtId="0" fontId="7" fillId="0" borderId="22" xfId="0" applyFont="1" applyBorder="1"/>
    <xf numFmtId="166" fontId="7" fillId="0" borderId="23" xfId="0" applyNumberFormat="1" applyFont="1" applyBorder="1"/>
    <xf numFmtId="9" fontId="7" fillId="0" borderId="23" xfId="2" applyFont="1" applyBorder="1"/>
    <xf numFmtId="166" fontId="7" fillId="0" borderId="24" xfId="0" applyNumberFormat="1" applyFont="1" applyBorder="1"/>
    <xf numFmtId="0" fontId="7" fillId="0" borderId="25" xfId="0" applyFont="1" applyBorder="1"/>
    <xf numFmtId="166" fontId="7" fillId="0" borderId="26" xfId="0" applyNumberFormat="1" applyFont="1" applyBorder="1"/>
    <xf numFmtId="9" fontId="7" fillId="0" borderId="26" xfId="2" applyFont="1" applyBorder="1"/>
    <xf numFmtId="166" fontId="7" fillId="0" borderId="27" xfId="0" applyNumberFormat="1" applyFont="1" applyBorder="1"/>
    <xf numFmtId="0" fontId="17" fillId="0" borderId="18" xfId="0" applyFont="1" applyBorder="1"/>
    <xf numFmtId="0" fontId="17" fillId="0" borderId="17" xfId="0" applyFont="1" applyBorder="1"/>
    <xf numFmtId="166" fontId="17" fillId="0" borderId="16" xfId="0" applyNumberFormat="1" applyFont="1" applyBorder="1"/>
    <xf numFmtId="0" fontId="17" fillId="0" borderId="28" xfId="0" applyFont="1" applyBorder="1"/>
    <xf numFmtId="0" fontId="17" fillId="0" borderId="0" xfId="0" applyFont="1"/>
    <xf numFmtId="9" fontId="17" fillId="0" borderId="29" xfId="0" applyNumberFormat="1" applyFont="1" applyBorder="1"/>
    <xf numFmtId="0" fontId="17" fillId="0" borderId="15" xfId="0" applyFont="1" applyBorder="1"/>
    <xf numFmtId="0" fontId="17" fillId="0" borderId="14" xfId="0" applyFont="1" applyBorder="1"/>
    <xf numFmtId="43" fontId="17" fillId="0" borderId="13" xfId="0" applyNumberFormat="1" applyFont="1" applyBorder="1"/>
    <xf numFmtId="0" fontId="7" fillId="4" borderId="8" xfId="0" applyFont="1" applyFill="1" applyBorder="1"/>
    <xf numFmtId="0" fontId="10" fillId="0" borderId="30" xfId="0" applyFont="1" applyBorder="1"/>
    <xf numFmtId="0" fontId="10" fillId="0" borderId="5" xfId="0" applyFont="1" applyBorder="1"/>
    <xf numFmtId="0" fontId="10" fillId="0" borderId="31" xfId="0" applyFont="1" applyBorder="1"/>
    <xf numFmtId="0" fontId="10" fillId="0" borderId="32" xfId="0" applyFont="1" applyBorder="1"/>
    <xf numFmtId="43" fontId="10" fillId="0" borderId="0" xfId="1" applyFont="1" applyBorder="1"/>
    <xf numFmtId="43" fontId="10" fillId="0" borderId="33" xfId="1" applyFont="1" applyBorder="1"/>
    <xf numFmtId="0" fontId="10" fillId="0" borderId="34" xfId="0" applyFont="1" applyBorder="1"/>
    <xf numFmtId="0" fontId="10" fillId="0" borderId="1" xfId="0" applyFont="1" applyBorder="1"/>
    <xf numFmtId="164" fontId="10" fillId="0" borderId="1" xfId="1" applyNumberFormat="1" applyFont="1" applyBorder="1"/>
    <xf numFmtId="164" fontId="10" fillId="0" borderId="35" xfId="1" applyNumberFormat="1" applyFont="1" applyBorder="1"/>
    <xf numFmtId="0" fontId="10" fillId="0" borderId="7" xfId="0" applyFont="1" applyBorder="1"/>
    <xf numFmtId="164" fontId="10" fillId="0" borderId="8" xfId="1" applyNumberFormat="1" applyFont="1" applyFill="1" applyBorder="1"/>
    <xf numFmtId="10" fontId="10" fillId="0" borderId="6" xfId="2" applyNumberFormat="1" applyFont="1" applyFill="1" applyBorder="1"/>
    <xf numFmtId="0" fontId="16" fillId="6" borderId="1" xfId="0" applyFont="1" applyFill="1" applyBorder="1"/>
    <xf numFmtId="164" fontId="16" fillId="6" borderId="1" xfId="1" applyNumberFormat="1" applyFont="1" applyFill="1" applyBorder="1"/>
    <xf numFmtId="0" fontId="16" fillId="5" borderId="0" xfId="0" applyFont="1" applyFill="1"/>
    <xf numFmtId="0" fontId="7" fillId="4" borderId="0" xfId="0" applyFont="1" applyFill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124413</xdr:colOff>
      <xdr:row>1</xdr:row>
      <xdr:rowOff>75494</xdr:rowOff>
    </xdr:from>
    <xdr:ext cx="1627140" cy="648273"/>
    <xdr:pic>
      <xdr:nvPicPr>
        <xdr:cNvPr id="2" name="Picture 1">
          <a:extLst>
            <a:ext uri="{FF2B5EF4-FFF2-40B4-BE49-F238E27FC236}">
              <a16:creationId xmlns:a16="http://schemas.microsoft.com/office/drawing/2014/main" id="{5F41F462-02A6-4B14-B336-840A50A8A1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47" t="23624" r="12520" b="24356"/>
        <a:stretch/>
      </xdr:blipFill>
      <xdr:spPr bwMode="auto">
        <a:xfrm>
          <a:off x="3782013" y="259644"/>
          <a:ext cx="1627140" cy="648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239678</xdr:colOff>
      <xdr:row>1</xdr:row>
      <xdr:rowOff>45589</xdr:rowOff>
    </xdr:from>
    <xdr:ext cx="1633864" cy="646778"/>
    <xdr:pic>
      <xdr:nvPicPr>
        <xdr:cNvPr id="2" name="Picture 1">
          <a:extLst>
            <a:ext uri="{FF2B5EF4-FFF2-40B4-BE49-F238E27FC236}">
              <a16:creationId xmlns:a16="http://schemas.microsoft.com/office/drawing/2014/main" id="{A5FE9940-463A-4ACA-B8F4-81783A40FB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47" t="23624" r="12520" b="24356"/>
        <a:stretch/>
      </xdr:blipFill>
      <xdr:spPr bwMode="auto">
        <a:xfrm>
          <a:off x="2068478" y="229739"/>
          <a:ext cx="1633864" cy="646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2724150</xdr:colOff>
      <xdr:row>1</xdr:row>
      <xdr:rowOff>63500</xdr:rowOff>
    </xdr:from>
    <xdr:ext cx="1633864" cy="646778"/>
    <xdr:pic>
      <xdr:nvPicPr>
        <xdr:cNvPr id="2" name="Picture 1">
          <a:extLst>
            <a:ext uri="{FF2B5EF4-FFF2-40B4-BE49-F238E27FC236}">
              <a16:creationId xmlns:a16="http://schemas.microsoft.com/office/drawing/2014/main" id="{B500374E-CC36-4F2B-B64E-CEF07F5DB6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47" t="23624" r="12520" b="24356"/>
        <a:stretch/>
      </xdr:blipFill>
      <xdr:spPr bwMode="auto">
        <a:xfrm>
          <a:off x="1219200" y="247650"/>
          <a:ext cx="1633864" cy="646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152400</xdr:colOff>
      <xdr:row>1</xdr:row>
      <xdr:rowOff>38100</xdr:rowOff>
    </xdr:from>
    <xdr:ext cx="1633864" cy="646778"/>
    <xdr:pic>
      <xdr:nvPicPr>
        <xdr:cNvPr id="2" name="Picture 1">
          <a:extLst>
            <a:ext uri="{FF2B5EF4-FFF2-40B4-BE49-F238E27FC236}">
              <a16:creationId xmlns:a16="http://schemas.microsoft.com/office/drawing/2014/main" id="{C16C4023-4B48-4329-8BA6-9D1FD49144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47" t="23624" r="12520" b="24356"/>
        <a:stretch/>
      </xdr:blipFill>
      <xdr:spPr bwMode="auto">
        <a:xfrm>
          <a:off x="3200400" y="222250"/>
          <a:ext cx="1633864" cy="646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c26a9230c60c51ab/Documents/Excel%20Junkie/LBO/CAKE_LBO_03.2025.xlsx" TargetMode="External"/><Relationship Id="rId1" Type="http://schemas.openxmlformats.org/officeDocument/2006/relationships/externalLinkPath" Target="https://d.docs.live.net/c26a9230c60c51ab/Documents/Excel%20Junkie/LBO/CAKE_LBO_03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BO"/>
    </sheetNames>
    <sheetDataSet>
      <sheetData sheetId="0">
        <row r="20">
          <cell r="D20">
            <v>0.2</v>
          </cell>
        </row>
        <row r="88">
          <cell r="D88">
            <v>84.176000000000002</v>
          </cell>
        </row>
        <row r="115">
          <cell r="D115">
            <v>452.06200000000001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BAD3E-ACE4-418C-92CF-B1CFFA5659F1}">
  <dimension ref="B3:I53"/>
  <sheetViews>
    <sheetView showGridLines="0" tabSelected="1" zoomScale="68" workbookViewId="0"/>
  </sheetViews>
  <sheetFormatPr defaultColWidth="8.7109375" defaultRowHeight="14.25" x14ac:dyDescent="0.2"/>
  <cols>
    <col min="1" max="1" width="5.140625" style="13" customWidth="1"/>
    <col min="2" max="2" width="27.5703125" style="13" bestFit="1" customWidth="1"/>
    <col min="3" max="3" width="10.5703125" style="13" bestFit="1" customWidth="1"/>
    <col min="4" max="8" width="9.28515625" style="13" bestFit="1" customWidth="1"/>
    <col min="9" max="9" width="8.85546875" style="13" bestFit="1" customWidth="1"/>
    <col min="10" max="16384" width="8.7109375" style="13"/>
  </cols>
  <sheetData>
    <row r="3" spans="2:9" ht="15" x14ac:dyDescent="0.25">
      <c r="B3" s="16" t="s">
        <v>61</v>
      </c>
    </row>
    <row r="4" spans="2:9" x14ac:dyDescent="0.2">
      <c r="B4" s="42" t="s">
        <v>24</v>
      </c>
    </row>
    <row r="7" spans="2:9" ht="15" x14ac:dyDescent="0.25">
      <c r="B7" s="76" t="s">
        <v>60</v>
      </c>
      <c r="C7" s="75"/>
      <c r="D7" s="75"/>
      <c r="E7" s="75"/>
      <c r="F7" s="75"/>
      <c r="G7" s="75"/>
      <c r="H7" s="75"/>
      <c r="I7" s="75"/>
    </row>
    <row r="9" spans="2:9" x14ac:dyDescent="0.2">
      <c r="B9" s="13" t="s">
        <v>59</v>
      </c>
      <c r="C9" s="41">
        <v>45657</v>
      </c>
    </row>
    <row r="10" spans="2:9" x14ac:dyDescent="0.2">
      <c r="B10" s="13" t="s">
        <v>58</v>
      </c>
      <c r="C10" s="40">
        <v>1</v>
      </c>
    </row>
    <row r="11" spans="2:9" x14ac:dyDescent="0.2">
      <c r="B11" s="13" t="s">
        <v>57</v>
      </c>
      <c r="C11" s="41">
        <v>45657</v>
      </c>
    </row>
    <row r="12" spans="2:9" x14ac:dyDescent="0.2">
      <c r="B12" s="13" t="s">
        <v>56</v>
      </c>
      <c r="C12" s="40">
        <v>0.25</v>
      </c>
    </row>
    <row r="13" spans="2:9" x14ac:dyDescent="0.2">
      <c r="B13" s="13" t="s">
        <v>55</v>
      </c>
      <c r="C13" s="40">
        <v>0.08</v>
      </c>
    </row>
    <row r="14" spans="2:9" x14ac:dyDescent="0.2">
      <c r="B14" s="13" t="s">
        <v>54</v>
      </c>
      <c r="C14" s="40">
        <v>0.03</v>
      </c>
    </row>
    <row r="17" spans="2:9" ht="15" x14ac:dyDescent="0.25">
      <c r="B17" s="76" t="s">
        <v>53</v>
      </c>
      <c r="C17" s="75"/>
      <c r="D17" s="75"/>
      <c r="E17" s="75"/>
      <c r="F17" s="75"/>
      <c r="G17" s="75"/>
      <c r="H17" s="75"/>
      <c r="I17" s="75"/>
    </row>
    <row r="19" spans="2:9" ht="15" x14ac:dyDescent="0.25">
      <c r="B19" s="77"/>
      <c r="C19" s="78">
        <v>2024</v>
      </c>
      <c r="D19" s="79">
        <f>C19+1</f>
        <v>2025</v>
      </c>
      <c r="E19" s="79">
        <f>D19+1</f>
        <v>2026</v>
      </c>
      <c r="F19" s="79">
        <f>E19+1</f>
        <v>2027</v>
      </c>
      <c r="G19" s="79">
        <f>F19+1</f>
        <v>2028</v>
      </c>
      <c r="H19" s="79">
        <f>G19+1</f>
        <v>2029</v>
      </c>
      <c r="I19" s="77" t="s">
        <v>52</v>
      </c>
    </row>
    <row r="20" spans="2:9" x14ac:dyDescent="0.2">
      <c r="B20" s="13" t="s">
        <v>51</v>
      </c>
      <c r="C20" s="36">
        <v>3581.6990000000001</v>
      </c>
      <c r="D20" s="20">
        <v>3729.7736698008407</v>
      </c>
      <c r="E20" s="20">
        <v>3883.9700454838976</v>
      </c>
      <c r="F20" s="20">
        <v>4044.5412107329548</v>
      </c>
      <c r="G20" s="20">
        <v>4211.7507122223806</v>
      </c>
      <c r="H20" s="20">
        <v>4385.8729921782851</v>
      </c>
      <c r="I20" s="35">
        <f>H20</f>
        <v>4385.8729921782851</v>
      </c>
    </row>
    <row r="21" spans="2:9" x14ac:dyDescent="0.2">
      <c r="B21" s="13" t="s">
        <v>50</v>
      </c>
      <c r="C21" s="28"/>
      <c r="D21" s="37">
        <f>D20/C20-1</f>
        <v>4.1342019471999336E-2</v>
      </c>
      <c r="E21" s="37">
        <f>E20/D20-1</f>
        <v>4.1342019471999336E-2</v>
      </c>
      <c r="F21" s="37">
        <f>F20/E20-1</f>
        <v>4.1342019471999336E-2</v>
      </c>
      <c r="G21" s="37">
        <f>G20/F20-1</f>
        <v>4.1342019471999336E-2</v>
      </c>
      <c r="H21" s="37">
        <f>H20/G20-1</f>
        <v>4.1342019471999336E-2</v>
      </c>
      <c r="I21" s="27"/>
    </row>
    <row r="22" spans="2:9" x14ac:dyDescent="0.2">
      <c r="C22" s="28"/>
      <c r="I22" s="27"/>
    </row>
    <row r="23" spans="2:9" x14ac:dyDescent="0.2">
      <c r="B23" s="13" t="s">
        <v>49</v>
      </c>
      <c r="C23" s="36">
        <v>178.31700000000001</v>
      </c>
      <c r="D23" s="20">
        <v>224.78803471461106</v>
      </c>
      <c r="E23" s="20">
        <v>274.72223960810834</v>
      </c>
      <c r="F23" s="20">
        <v>328.32653702512243</v>
      </c>
      <c r="G23" s="20">
        <v>385.81903936462822</v>
      </c>
      <c r="H23" s="20">
        <v>447.42962065490565</v>
      </c>
      <c r="I23" s="35">
        <f>H23</f>
        <v>447.42962065490565</v>
      </c>
    </row>
    <row r="24" spans="2:9" x14ac:dyDescent="0.2">
      <c r="B24" s="13" t="s">
        <v>48</v>
      </c>
      <c r="C24" s="39">
        <f t="shared" ref="C24:H24" si="0">C23/C20</f>
        <v>4.9785590581453106E-2</v>
      </c>
      <c r="D24" s="38">
        <f t="shared" si="0"/>
        <v>6.0268545658593298E-2</v>
      </c>
      <c r="E24" s="38">
        <f t="shared" si="0"/>
        <v>7.0732327075370416E-2</v>
      </c>
      <c r="F24" s="38">
        <f t="shared" si="0"/>
        <v>8.1177696039750044E-2</v>
      </c>
      <c r="G24" s="38">
        <f t="shared" si="0"/>
        <v>9.16053835391996E-2</v>
      </c>
      <c r="H24" s="37">
        <f t="shared" si="0"/>
        <v>0.1020160915404633</v>
      </c>
      <c r="I24" s="35"/>
    </row>
    <row r="25" spans="2:9" x14ac:dyDescent="0.2">
      <c r="C25" s="28"/>
      <c r="I25" s="27"/>
    </row>
    <row r="26" spans="2:9" x14ac:dyDescent="0.2">
      <c r="B26" s="13" t="s">
        <v>47</v>
      </c>
      <c r="C26" s="36">
        <v>101.45</v>
      </c>
      <c r="D26" s="20">
        <v>105.64414787543434</v>
      </c>
      <c r="E26" s="20">
        <v>110.01169029400332</v>
      </c>
      <c r="F26" s="20">
        <v>114.55979573628557</v>
      </c>
      <c r="G26" s="20">
        <v>119.29592904232335</v>
      </c>
      <c r="H26" s="20">
        <v>124.22786366372132</v>
      </c>
      <c r="I26" s="35">
        <f>-I28</f>
        <v>196.36941477150327</v>
      </c>
    </row>
    <row r="27" spans="2:9" x14ac:dyDescent="0.2">
      <c r="B27" s="13" t="s">
        <v>46</v>
      </c>
      <c r="C27" s="36">
        <v>-44.579250000000002</v>
      </c>
      <c r="D27" s="20">
        <v>-56.197008678652765</v>
      </c>
      <c r="E27" s="20">
        <v>-68.680559902027085</v>
      </c>
      <c r="F27" s="20">
        <v>-82.081634256280608</v>
      </c>
      <c r="G27" s="20">
        <v>-96.454759841157056</v>
      </c>
      <c r="H27" s="20">
        <v>-111.85740516372641</v>
      </c>
      <c r="I27" s="35">
        <f>H27</f>
        <v>-111.85740516372641</v>
      </c>
    </row>
    <row r="28" spans="2:9" x14ac:dyDescent="0.2">
      <c r="B28" s="13" t="s">
        <v>45</v>
      </c>
      <c r="C28" s="36">
        <v>-160.364</v>
      </c>
      <c r="D28" s="20">
        <v>-166.99377161060769</v>
      </c>
      <c r="E28" s="20">
        <v>-173.89763136823606</v>
      </c>
      <c r="F28" s="20">
        <v>-181.08691063039623</v>
      </c>
      <c r="G28" s="20">
        <v>-188.57340921580229</v>
      </c>
      <c r="H28" s="20">
        <v>-196.36941477150327</v>
      </c>
      <c r="I28" s="35">
        <f>H28</f>
        <v>-196.36941477150327</v>
      </c>
    </row>
    <row r="29" spans="2:9" x14ac:dyDescent="0.2">
      <c r="B29" s="34" t="s">
        <v>44</v>
      </c>
      <c r="C29" s="28"/>
      <c r="D29" s="20">
        <v>12.643273037103825</v>
      </c>
      <c r="E29" s="20">
        <v>13.167074244906246</v>
      </c>
      <c r="F29" s="20">
        <v>13.712576043085619</v>
      </c>
      <c r="G29" s="20">
        <v>14.280677462680615</v>
      </c>
      <c r="H29" s="20">
        <v>14.872314780411671</v>
      </c>
      <c r="I29" s="33">
        <f>H29</f>
        <v>14.872314780411671</v>
      </c>
    </row>
    <row r="30" spans="2:9" x14ac:dyDescent="0.2">
      <c r="B30" s="32" t="s">
        <v>43</v>
      </c>
      <c r="C30" s="31"/>
      <c r="D30" s="30">
        <f t="shared" ref="D30:I30" si="1">SUM(D26:D29,D23)</f>
        <v>119.88467533788877</v>
      </c>
      <c r="E30" s="30">
        <f t="shared" si="1"/>
        <v>155.32281287675477</v>
      </c>
      <c r="F30" s="30">
        <f t="shared" si="1"/>
        <v>193.43036391781678</v>
      </c>
      <c r="G30" s="30">
        <f t="shared" si="1"/>
        <v>234.36747681267286</v>
      </c>
      <c r="H30" s="30">
        <f t="shared" si="1"/>
        <v>278.30297916380897</v>
      </c>
      <c r="I30" s="29">
        <f t="shared" si="1"/>
        <v>350.44453027159091</v>
      </c>
    </row>
    <row r="31" spans="2:9" x14ac:dyDescent="0.2">
      <c r="B31" s="13" t="s">
        <v>42</v>
      </c>
      <c r="C31" s="28"/>
      <c r="D31" s="20">
        <f>D30*$C$10</f>
        <v>119.88467533788877</v>
      </c>
      <c r="E31" s="20">
        <f>E30</f>
        <v>155.32281287675477</v>
      </c>
      <c r="F31" s="20">
        <f>F30</f>
        <v>193.43036391781678</v>
      </c>
      <c r="G31" s="20">
        <f>G30</f>
        <v>234.36747681267286</v>
      </c>
      <c r="H31" s="20">
        <f>H30</f>
        <v>278.30297916380897</v>
      </c>
      <c r="I31" s="26">
        <f>I30</f>
        <v>350.44453027159091</v>
      </c>
    </row>
    <row r="32" spans="2:9" x14ac:dyDescent="0.2">
      <c r="I32" s="27"/>
    </row>
    <row r="33" spans="2:9" x14ac:dyDescent="0.2">
      <c r="B33" s="109" t="s">
        <v>41</v>
      </c>
      <c r="C33" s="110"/>
      <c r="D33" s="110">
        <f>C10/2</f>
        <v>0.5</v>
      </c>
      <c r="E33" s="110">
        <f>D33+1</f>
        <v>1.5</v>
      </c>
      <c r="F33" s="110">
        <f>E33+1</f>
        <v>2.5</v>
      </c>
      <c r="G33" s="110">
        <f>F33+1</f>
        <v>3.5</v>
      </c>
      <c r="H33" s="110">
        <f>G33+1</f>
        <v>4.5</v>
      </c>
      <c r="I33" s="111">
        <f>H33</f>
        <v>4.5</v>
      </c>
    </row>
    <row r="34" spans="2:9" x14ac:dyDescent="0.2">
      <c r="B34" s="112" t="s">
        <v>40</v>
      </c>
      <c r="C34" s="42"/>
      <c r="D34" s="113">
        <f t="shared" ref="D34:I34" si="2">1/(1+$C$13)^D33</f>
        <v>0.96225044864937614</v>
      </c>
      <c r="E34" s="113">
        <f t="shared" si="2"/>
        <v>0.89097263763831136</v>
      </c>
      <c r="F34" s="113">
        <f t="shared" si="2"/>
        <v>0.82497466447991774</v>
      </c>
      <c r="G34" s="113">
        <f t="shared" si="2"/>
        <v>0.76386543007399788</v>
      </c>
      <c r="H34" s="113">
        <f t="shared" si="2"/>
        <v>0.70728280562407209</v>
      </c>
      <c r="I34" s="114">
        <f t="shared" si="2"/>
        <v>0.70728280562407209</v>
      </c>
    </row>
    <row r="35" spans="2:9" x14ac:dyDescent="0.2">
      <c r="B35" s="115" t="s">
        <v>39</v>
      </c>
      <c r="C35" s="116"/>
      <c r="D35" s="117">
        <f t="shared" ref="D35:I35" si="3">D34*D31</f>
        <v>115.35908263006826</v>
      </c>
      <c r="E35" s="117">
        <f t="shared" si="3"/>
        <v>138.38837627420406</v>
      </c>
      <c r="F35" s="117">
        <f t="shared" si="3"/>
        <v>159.57514957332927</v>
      </c>
      <c r="G35" s="117">
        <f t="shared" si="3"/>
        <v>179.02521347087009</v>
      </c>
      <c r="H35" s="117">
        <f t="shared" si="3"/>
        <v>196.83891191651648</v>
      </c>
      <c r="I35" s="118">
        <f t="shared" si="3"/>
        <v>247.86339058610088</v>
      </c>
    </row>
    <row r="37" spans="2:9" ht="15" x14ac:dyDescent="0.25">
      <c r="B37" s="77" t="s">
        <v>38</v>
      </c>
      <c r="C37" s="77"/>
    </row>
    <row r="38" spans="2:9" x14ac:dyDescent="0.2">
      <c r="B38" s="13" t="s">
        <v>37</v>
      </c>
      <c r="C38" s="25">
        <f>C13</f>
        <v>0.08</v>
      </c>
    </row>
    <row r="39" spans="2:9" x14ac:dyDescent="0.2">
      <c r="B39" s="13" t="s">
        <v>36</v>
      </c>
      <c r="C39" s="25">
        <f>C14</f>
        <v>0.03</v>
      </c>
    </row>
    <row r="40" spans="2:9" x14ac:dyDescent="0.2">
      <c r="B40" s="13" t="s">
        <v>35</v>
      </c>
      <c r="C40" s="24">
        <f>I34</f>
        <v>0.70728280562407209</v>
      </c>
    </row>
    <row r="41" spans="2:9" x14ac:dyDescent="0.2">
      <c r="B41" s="13" t="s">
        <v>34</v>
      </c>
      <c r="C41" s="21">
        <f>I31</f>
        <v>350.44453027159091</v>
      </c>
    </row>
    <row r="42" spans="2:9" ht="15" x14ac:dyDescent="0.25">
      <c r="B42" s="23" t="s">
        <v>33</v>
      </c>
      <c r="C42" s="22">
        <f>(C41*(1+C39)/(C38-C39))</f>
        <v>7219.1573235947726</v>
      </c>
    </row>
    <row r="44" spans="2:9" x14ac:dyDescent="0.2">
      <c r="B44" s="13" t="s">
        <v>32</v>
      </c>
      <c r="C44" s="21">
        <f>SUM(D35:H35)</f>
        <v>789.18673386498813</v>
      </c>
    </row>
    <row r="45" spans="2:9" x14ac:dyDescent="0.2">
      <c r="B45" s="13" t="s">
        <v>31</v>
      </c>
      <c r="C45" s="21">
        <f>C42*C40</f>
        <v>5105.9858460736777</v>
      </c>
    </row>
    <row r="46" spans="2:9" ht="15" x14ac:dyDescent="0.25">
      <c r="B46" s="19" t="s">
        <v>30</v>
      </c>
      <c r="C46" s="18">
        <f>SUM(C44:C45)</f>
        <v>5895.1725799386659</v>
      </c>
    </row>
    <row r="47" spans="2:9" x14ac:dyDescent="0.2">
      <c r="B47" s="13" t="s">
        <v>29</v>
      </c>
      <c r="C47" s="20">
        <f>-SUM([1]LBO!D115-[1]LBO!D88)</f>
        <v>-367.88600000000002</v>
      </c>
    </row>
    <row r="48" spans="2:9" ht="15" x14ac:dyDescent="0.25">
      <c r="B48" s="19" t="s">
        <v>28</v>
      </c>
      <c r="C48" s="18">
        <f>SUM(C46:C47)</f>
        <v>5527.2865799386655</v>
      </c>
    </row>
    <row r="49" spans="2:3" x14ac:dyDescent="0.2">
      <c r="B49" s="13" t="s">
        <v>8</v>
      </c>
      <c r="C49" s="17">
        <f>TSM!F23</f>
        <v>59.697973146826115</v>
      </c>
    </row>
    <row r="50" spans="2:3" ht="15" x14ac:dyDescent="0.25">
      <c r="B50" s="16" t="s">
        <v>27</v>
      </c>
      <c r="C50" s="17">
        <f>C48/C49</f>
        <v>92.587508228200662</v>
      </c>
    </row>
    <row r="52" spans="2:3" ht="15" x14ac:dyDescent="0.25">
      <c r="B52" s="16" t="s">
        <v>23</v>
      </c>
      <c r="C52" s="13">
        <f>TSM!C7</f>
        <v>46.19</v>
      </c>
    </row>
    <row r="53" spans="2:3" x14ac:dyDescent="0.2">
      <c r="B53" s="15" t="s">
        <v>26</v>
      </c>
      <c r="C53" s="14">
        <f>C50/C52-1</f>
        <v>1.0044924924918956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B4B89-B8D1-4666-B5E8-1B47FEFA95F6}">
  <dimension ref="B3:H27"/>
  <sheetViews>
    <sheetView showGridLines="0" zoomScale="62" workbookViewId="0"/>
  </sheetViews>
  <sheetFormatPr defaultRowHeight="15" x14ac:dyDescent="0.25"/>
  <cols>
    <col min="1" max="1" width="3" customWidth="1"/>
    <col min="2" max="2" width="16.85546875" bestFit="1" customWidth="1"/>
    <col min="3" max="3" width="14.85546875" bestFit="1" customWidth="1"/>
    <col min="8" max="8" width="12.7109375" bestFit="1" customWidth="1"/>
  </cols>
  <sheetData>
    <row r="3" spans="2:6" x14ac:dyDescent="0.25">
      <c r="B3" s="12" t="s">
        <v>25</v>
      </c>
    </row>
    <row r="4" spans="2:6" x14ac:dyDescent="0.25">
      <c r="B4" s="11" t="s">
        <v>24</v>
      </c>
    </row>
    <row r="7" spans="2:6" x14ac:dyDescent="0.25">
      <c r="B7" t="s">
        <v>23</v>
      </c>
      <c r="C7" s="9">
        <v>46.19</v>
      </c>
    </row>
    <row r="8" spans="2:6" x14ac:dyDescent="0.25">
      <c r="B8" t="s">
        <v>22</v>
      </c>
      <c r="C8" s="10">
        <f>[1]LBO!D20</f>
        <v>0.2</v>
      </c>
    </row>
    <row r="9" spans="2:6" x14ac:dyDescent="0.25">
      <c r="B9" t="s">
        <v>21</v>
      </c>
      <c r="C9" s="9">
        <f>C7*(1+C8)</f>
        <v>55.427999999999997</v>
      </c>
    </row>
    <row r="10" spans="2:6" x14ac:dyDescent="0.25">
      <c r="B10" t="s">
        <v>20</v>
      </c>
      <c r="C10" s="9">
        <v>51.543044000000002</v>
      </c>
    </row>
    <row r="13" spans="2:6" x14ac:dyDescent="0.25">
      <c r="B13" s="4" t="s">
        <v>19</v>
      </c>
      <c r="C13" s="4" t="s">
        <v>18</v>
      </c>
      <c r="D13" s="4" t="s">
        <v>17</v>
      </c>
      <c r="E13" s="4" t="s">
        <v>16</v>
      </c>
      <c r="F13" s="4" t="s">
        <v>15</v>
      </c>
    </row>
    <row r="14" spans="2:6" x14ac:dyDescent="0.25">
      <c r="B14" t="s">
        <v>14</v>
      </c>
      <c r="C14">
        <v>0.92700000000000005</v>
      </c>
      <c r="D14">
        <v>47.68</v>
      </c>
      <c r="E14">
        <f>IF(D14&lt;C9,1,0)</f>
        <v>1</v>
      </c>
      <c r="F14">
        <f>E14*D14*C14</f>
        <v>44.199359999999999</v>
      </c>
    </row>
    <row r="15" spans="2:6" x14ac:dyDescent="0.25">
      <c r="B15" t="s">
        <v>13</v>
      </c>
      <c r="C15">
        <v>3.2389999999999999</v>
      </c>
      <c r="E15">
        <f>IF(D15&lt;C10,1,0)</f>
        <v>1</v>
      </c>
      <c r="F15">
        <f>E15*D15*C15</f>
        <v>0</v>
      </c>
    </row>
    <row r="16" spans="2:6" x14ac:dyDescent="0.25">
      <c r="B16" t="s">
        <v>12</v>
      </c>
      <c r="C16" s="1">
        <f>H27</f>
        <v>4.7863485016648175</v>
      </c>
      <c r="E16">
        <f>IF(D16&lt;C11,1,0)</f>
        <v>0</v>
      </c>
      <c r="F16">
        <f>E16*D16*C16</f>
        <v>0</v>
      </c>
    </row>
    <row r="19" spans="2:8" x14ac:dyDescent="0.25">
      <c r="B19" s="8" t="s">
        <v>11</v>
      </c>
      <c r="C19" s="8">
        <f>SUM(C14:C18)</f>
        <v>8.9523485016648188</v>
      </c>
      <c r="D19" s="8"/>
      <c r="E19" s="8"/>
      <c r="F19" s="8">
        <f>SUM(F14:F18)</f>
        <v>44.199359999999999</v>
      </c>
    </row>
    <row r="21" spans="2:8" x14ac:dyDescent="0.25">
      <c r="B21" t="s">
        <v>10</v>
      </c>
      <c r="F21">
        <f>F19/C9</f>
        <v>0.79741935483870974</v>
      </c>
    </row>
    <row r="22" spans="2:8" ht="15.75" thickBot="1" x14ac:dyDescent="0.3">
      <c r="B22" t="s">
        <v>9</v>
      </c>
      <c r="F22">
        <f>C19-F21</f>
        <v>8.1549291468261096</v>
      </c>
    </row>
    <row r="23" spans="2:8" ht="15.75" thickBot="1" x14ac:dyDescent="0.3">
      <c r="B23" s="7" t="s">
        <v>8</v>
      </c>
      <c r="C23" s="6"/>
      <c r="D23" s="6"/>
      <c r="E23" s="6"/>
      <c r="F23" s="5">
        <f>F22+C10</f>
        <v>59.697973146826115</v>
      </c>
    </row>
    <row r="26" spans="2:8" x14ac:dyDescent="0.25">
      <c r="B26" s="4" t="s">
        <v>7</v>
      </c>
      <c r="C26" s="4" t="s">
        <v>6</v>
      </c>
      <c r="D26" s="4" t="s">
        <v>5</v>
      </c>
      <c r="E26" s="4" t="s">
        <v>4</v>
      </c>
      <c r="F26" s="4" t="s">
        <v>3</v>
      </c>
      <c r="G26" s="4" t="s">
        <v>2</v>
      </c>
      <c r="H26" s="4" t="s">
        <v>1</v>
      </c>
    </row>
    <row r="27" spans="2:8" x14ac:dyDescent="0.25">
      <c r="B27" t="s">
        <v>0</v>
      </c>
      <c r="C27" s="3">
        <v>345000000</v>
      </c>
      <c r="D27">
        <f>F27/E27</f>
        <v>13.873473917869035</v>
      </c>
      <c r="E27">
        <v>72.08</v>
      </c>
      <c r="F27">
        <v>1000</v>
      </c>
      <c r="G27" s="2">
        <f>C27/F27</f>
        <v>345000</v>
      </c>
      <c r="H27" s="1">
        <f>G27*D27/1000000</f>
        <v>4.7863485016648175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21C03-9E73-45AD-8B00-DFBE34427F8F}">
  <dimension ref="B3:I57"/>
  <sheetViews>
    <sheetView showGridLines="0" zoomScale="52" workbookViewId="0"/>
  </sheetViews>
  <sheetFormatPr defaultColWidth="8.7109375" defaultRowHeight="14.25" x14ac:dyDescent="0.2"/>
  <cols>
    <col min="1" max="1" width="4.5703125" style="13" customWidth="1"/>
    <col min="2" max="2" width="42.85546875" style="13" bestFit="1" customWidth="1"/>
    <col min="3" max="3" width="2.28515625" style="13" customWidth="1"/>
    <col min="4" max="8" width="9.140625" style="13" bestFit="1" customWidth="1"/>
    <col min="9" max="16384" width="8.7109375" style="13"/>
  </cols>
  <sheetData>
    <row r="3" spans="2:8" ht="15" x14ac:dyDescent="0.25">
      <c r="B3" s="65" t="s">
        <v>83</v>
      </c>
      <c r="C3" s="63"/>
      <c r="D3" s="63"/>
      <c r="E3" s="63"/>
      <c r="F3" s="63"/>
      <c r="G3" s="63"/>
      <c r="H3" s="63"/>
    </row>
    <row r="4" spans="2:8" x14ac:dyDescent="0.2">
      <c r="B4" s="64" t="s">
        <v>24</v>
      </c>
      <c r="C4" s="63"/>
      <c r="D4" s="63"/>
      <c r="E4" s="63"/>
      <c r="F4" s="63"/>
      <c r="G4" s="63"/>
      <c r="H4" s="63"/>
    </row>
    <row r="5" spans="2:8" x14ac:dyDescent="0.2">
      <c r="B5" s="63"/>
      <c r="C5" s="63"/>
      <c r="D5" s="63"/>
      <c r="E5" s="63"/>
      <c r="F5" s="63"/>
      <c r="G5" s="63"/>
      <c r="H5" s="63"/>
    </row>
    <row r="6" spans="2:8" x14ac:dyDescent="0.2">
      <c r="B6" s="63"/>
      <c r="C6" s="63"/>
      <c r="D6" s="63"/>
      <c r="E6" s="63"/>
      <c r="F6" s="63"/>
      <c r="G6" s="63"/>
      <c r="H6" s="63"/>
    </row>
    <row r="7" spans="2:8" ht="15" x14ac:dyDescent="0.25">
      <c r="B7" s="124" t="s">
        <v>82</v>
      </c>
      <c r="C7" s="62"/>
      <c r="D7" s="62"/>
      <c r="E7" s="62"/>
    </row>
    <row r="8" spans="2:8" x14ac:dyDescent="0.2">
      <c r="B8" s="61"/>
      <c r="C8" s="61"/>
      <c r="D8" s="61"/>
      <c r="E8" s="61"/>
    </row>
    <row r="9" spans="2:8" ht="30.6" customHeight="1" x14ac:dyDescent="0.25">
      <c r="B9" s="61"/>
      <c r="C9" s="61"/>
      <c r="D9" s="125" t="s">
        <v>81</v>
      </c>
      <c r="E9" s="125"/>
    </row>
    <row r="10" spans="2:8" ht="15" x14ac:dyDescent="0.25">
      <c r="B10" s="60"/>
      <c r="C10" s="60"/>
      <c r="D10" s="108" t="s">
        <v>80</v>
      </c>
      <c r="E10" s="108" t="s">
        <v>79</v>
      </c>
    </row>
    <row r="11" spans="2:8" x14ac:dyDescent="0.2">
      <c r="B11" s="13" t="s">
        <v>78</v>
      </c>
      <c r="D11" s="58">
        <v>0.04</v>
      </c>
      <c r="E11" s="58">
        <v>0.05</v>
      </c>
    </row>
    <row r="13" spans="2:8" ht="15" x14ac:dyDescent="0.25">
      <c r="B13" s="16" t="s">
        <v>77</v>
      </c>
      <c r="D13" s="59">
        <f>'Beta Determination'!H26</f>
        <v>1.0779464516491075</v>
      </c>
      <c r="E13" s="59">
        <f>D13</f>
        <v>1.0779464516491075</v>
      </c>
    </row>
    <row r="14" spans="2:8" x14ac:dyDescent="0.2">
      <c r="B14" s="13" t="s">
        <v>76</v>
      </c>
      <c r="D14" s="59">
        <f>'Beta Determination'!H24</f>
        <v>0.91668603741177468</v>
      </c>
      <c r="E14" s="59">
        <f>D14</f>
        <v>0.91668603741177468</v>
      </c>
    </row>
    <row r="15" spans="2:8" x14ac:dyDescent="0.2">
      <c r="B15" s="13" t="s">
        <v>75</v>
      </c>
      <c r="D15" s="48">
        <f>D13*D11</f>
        <v>4.3117858065964298E-2</v>
      </c>
      <c r="E15" s="48">
        <f>E13*E11</f>
        <v>5.389732258245538E-2</v>
      </c>
    </row>
    <row r="16" spans="2:8" x14ac:dyDescent="0.2">
      <c r="B16" s="54" t="s">
        <v>74</v>
      </c>
      <c r="D16" s="58">
        <v>4.4400000000000002E-2</v>
      </c>
      <c r="E16" s="58">
        <f>D16</f>
        <v>4.4400000000000002E-2</v>
      </c>
    </row>
    <row r="17" spans="2:9" ht="15" x14ac:dyDescent="0.25">
      <c r="B17" s="16" t="s">
        <v>73</v>
      </c>
      <c r="D17" s="57">
        <f>D15+D16</f>
        <v>8.7517858065964294E-2</v>
      </c>
      <c r="E17" s="57">
        <f>E15+E16</f>
        <v>9.8297322582455382E-2</v>
      </c>
    </row>
    <row r="18" spans="2:9" x14ac:dyDescent="0.2">
      <c r="B18" s="54" t="s">
        <v>72</v>
      </c>
      <c r="D18" s="25">
        <f>1-D33</f>
        <v>0.81000804076392707</v>
      </c>
      <c r="E18" s="25">
        <f>1-E33</f>
        <v>0.81000804076392707</v>
      </c>
    </row>
    <row r="19" spans="2:9" ht="15" x14ac:dyDescent="0.25">
      <c r="B19" s="16" t="s">
        <v>71</v>
      </c>
      <c r="C19" s="46"/>
      <c r="D19" s="56">
        <f>D18*D17</f>
        <v>7.0890168743867193E-2</v>
      </c>
      <c r="E19" s="56">
        <f>E18*E17</f>
        <v>7.9621621677354412E-2</v>
      </c>
      <c r="F19" s="46"/>
      <c r="G19" s="46"/>
      <c r="H19" s="46"/>
      <c r="I19" s="21"/>
    </row>
    <row r="20" spans="2:9" x14ac:dyDescent="0.2">
      <c r="D20" s="43"/>
      <c r="E20" s="43"/>
      <c r="F20" s="43"/>
      <c r="G20" s="43"/>
      <c r="H20" s="43"/>
    </row>
    <row r="21" spans="2:9" ht="15" x14ac:dyDescent="0.25">
      <c r="B21" s="16" t="s">
        <v>70</v>
      </c>
      <c r="C21" s="16"/>
      <c r="D21" s="55">
        <v>0.05</v>
      </c>
      <c r="E21" s="55">
        <f>D21</f>
        <v>0.05</v>
      </c>
    </row>
    <row r="22" spans="2:9" x14ac:dyDescent="0.2">
      <c r="B22" s="13" t="s">
        <v>69</v>
      </c>
      <c r="C22" s="46"/>
      <c r="D22" s="25">
        <v>0.25</v>
      </c>
      <c r="E22" s="25">
        <f>D22</f>
        <v>0.25</v>
      </c>
      <c r="F22" s="46"/>
      <c r="G22" s="46"/>
      <c r="H22" s="46"/>
      <c r="I22" s="21"/>
    </row>
    <row r="23" spans="2:9" x14ac:dyDescent="0.2">
      <c r="B23" s="13" t="s">
        <v>68</v>
      </c>
      <c r="C23" s="43"/>
      <c r="D23" s="43">
        <f>D21*(1-D22)</f>
        <v>3.7500000000000006E-2</v>
      </c>
      <c r="E23" s="43">
        <f>E21*(1-E22)</f>
        <v>3.7500000000000006E-2</v>
      </c>
      <c r="F23" s="43"/>
      <c r="G23" s="43"/>
      <c r="H23" s="43"/>
      <c r="I23" s="21"/>
    </row>
    <row r="24" spans="2:9" x14ac:dyDescent="0.2">
      <c r="B24" s="54" t="s">
        <v>67</v>
      </c>
      <c r="D24" s="25">
        <f>1-D18</f>
        <v>0.18999195923607293</v>
      </c>
      <c r="E24" s="25">
        <f>1-E18</f>
        <v>0.18999195923607293</v>
      </c>
    </row>
    <row r="25" spans="2:9" ht="15" x14ac:dyDescent="0.25">
      <c r="B25" s="16" t="s">
        <v>66</v>
      </c>
      <c r="C25" s="46"/>
      <c r="D25" s="53">
        <f>D24*D23</f>
        <v>7.124698471352736E-3</v>
      </c>
      <c r="E25" s="53">
        <f>E24*E23</f>
        <v>7.124698471352736E-3</v>
      </c>
      <c r="F25" s="46"/>
      <c r="G25" s="46"/>
      <c r="H25" s="46"/>
      <c r="I25" s="21"/>
    </row>
    <row r="26" spans="2:9" ht="15" thickBot="1" x14ac:dyDescent="0.25">
      <c r="C26" s="46"/>
      <c r="D26" s="46"/>
      <c r="E26" s="46"/>
      <c r="F26" s="46"/>
      <c r="G26" s="46"/>
      <c r="H26" s="46"/>
      <c r="I26" s="21"/>
    </row>
    <row r="27" spans="2:9" ht="15.75" thickBot="1" x14ac:dyDescent="0.3">
      <c r="B27" s="52" t="s">
        <v>65</v>
      </c>
      <c r="C27" s="51"/>
      <c r="D27" s="50">
        <f>D25+D19</f>
        <v>7.8014867215219927E-2</v>
      </c>
      <c r="E27" s="49">
        <f>E25+E19</f>
        <v>8.6746320148707146E-2</v>
      </c>
      <c r="F27" s="46"/>
      <c r="G27" s="46"/>
      <c r="H27" s="46"/>
      <c r="I27" s="21"/>
    </row>
    <row r="28" spans="2:9" x14ac:dyDescent="0.2">
      <c r="C28" s="46"/>
      <c r="D28" s="46"/>
      <c r="E28" s="46"/>
      <c r="F28" s="46"/>
      <c r="G28" s="46"/>
      <c r="H28" s="46"/>
      <c r="I28" s="21"/>
    </row>
    <row r="29" spans="2:9" x14ac:dyDescent="0.2">
      <c r="B29" s="119" t="s">
        <v>106</v>
      </c>
      <c r="C29" s="120"/>
      <c r="D29" s="121">
        <f>AVERAGE(D27:E27)</f>
        <v>8.2380593681963543E-2</v>
      </c>
      <c r="E29" s="46"/>
      <c r="F29" s="46"/>
      <c r="G29" s="46"/>
      <c r="H29" s="46"/>
      <c r="I29" s="21"/>
    </row>
    <row r="30" spans="2:9" x14ac:dyDescent="0.2">
      <c r="C30" s="46"/>
      <c r="D30" s="48"/>
      <c r="E30" s="46"/>
      <c r="F30" s="46"/>
      <c r="G30" s="46"/>
      <c r="H30" s="46"/>
      <c r="I30" s="21"/>
    </row>
    <row r="31" spans="2:9" ht="15" x14ac:dyDescent="0.25">
      <c r="B31" s="122" t="s">
        <v>64</v>
      </c>
      <c r="C31" s="123"/>
      <c r="D31" s="123"/>
      <c r="E31" s="123"/>
      <c r="F31" s="46"/>
      <c r="G31" s="46"/>
      <c r="H31" s="46"/>
      <c r="I31" s="21"/>
    </row>
    <row r="32" spans="2:9" x14ac:dyDescent="0.2">
      <c r="B32" s="13" t="s">
        <v>63</v>
      </c>
      <c r="C32" s="46"/>
      <c r="D32" s="43">
        <f>E32</f>
        <v>0.23455564596234066</v>
      </c>
      <c r="E32" s="43">
        <f>'Beta Determination'!H25</f>
        <v>0.23455564596234066</v>
      </c>
      <c r="F32" s="46"/>
      <c r="G32" s="46"/>
      <c r="H32" s="46"/>
      <c r="I32" s="21"/>
    </row>
    <row r="33" spans="2:9" x14ac:dyDescent="0.2">
      <c r="B33" s="13" t="s">
        <v>62</v>
      </c>
      <c r="D33" s="43">
        <f>D32/(1+D32)</f>
        <v>0.1899919592360729</v>
      </c>
      <c r="E33" s="43">
        <f>E32/(1+E32)</f>
        <v>0.1899919592360729</v>
      </c>
      <c r="F33" s="46"/>
      <c r="G33" s="46"/>
      <c r="H33" s="46"/>
      <c r="I33" s="21"/>
    </row>
    <row r="34" spans="2:9" x14ac:dyDescent="0.2">
      <c r="D34" s="46"/>
      <c r="E34" s="46"/>
      <c r="F34" s="46"/>
      <c r="G34" s="46"/>
      <c r="H34" s="46"/>
      <c r="I34" s="46"/>
    </row>
    <row r="35" spans="2:9" x14ac:dyDescent="0.2">
      <c r="D35" s="46"/>
      <c r="E35" s="46"/>
      <c r="F35" s="46"/>
      <c r="G35" s="46"/>
      <c r="H35" s="46"/>
      <c r="I35" s="46"/>
    </row>
    <row r="38" spans="2:9" x14ac:dyDescent="0.2">
      <c r="D38" s="44"/>
      <c r="E38" s="44"/>
      <c r="F38" s="44"/>
      <c r="G38" s="44"/>
      <c r="H38" s="44"/>
      <c r="I38" s="44"/>
    </row>
    <row r="39" spans="2:9" x14ac:dyDescent="0.2">
      <c r="D39" s="46"/>
      <c r="E39" s="46"/>
      <c r="F39" s="46"/>
      <c r="G39" s="46"/>
      <c r="H39" s="46"/>
      <c r="I39" s="46"/>
    </row>
    <row r="42" spans="2:9" x14ac:dyDescent="0.2">
      <c r="C42" s="25"/>
    </row>
    <row r="43" spans="2:9" x14ac:dyDescent="0.2">
      <c r="C43" s="25"/>
    </row>
    <row r="44" spans="2:9" x14ac:dyDescent="0.2">
      <c r="C44" s="24"/>
    </row>
    <row r="45" spans="2:9" x14ac:dyDescent="0.2">
      <c r="C45" s="21"/>
    </row>
    <row r="46" spans="2:9" ht="15" x14ac:dyDescent="0.25">
      <c r="B46" s="16"/>
      <c r="C46" s="47"/>
    </row>
    <row r="48" spans="2:9" x14ac:dyDescent="0.2">
      <c r="C48" s="21"/>
    </row>
    <row r="49" spans="2:3" x14ac:dyDescent="0.2">
      <c r="C49" s="21"/>
    </row>
    <row r="50" spans="2:3" ht="15" x14ac:dyDescent="0.25">
      <c r="B50" s="16"/>
      <c r="C50" s="45"/>
    </row>
    <row r="51" spans="2:3" x14ac:dyDescent="0.2">
      <c r="C51" s="46"/>
    </row>
    <row r="52" spans="2:3" ht="15" x14ac:dyDescent="0.25">
      <c r="B52" s="16"/>
      <c r="C52" s="45"/>
    </row>
    <row r="53" spans="2:3" x14ac:dyDescent="0.2">
      <c r="C53" s="44"/>
    </row>
    <row r="54" spans="2:3" ht="15" x14ac:dyDescent="0.25">
      <c r="B54" s="16"/>
    </row>
    <row r="56" spans="2:3" ht="15" x14ac:dyDescent="0.25">
      <c r="B56" s="16"/>
    </row>
    <row r="57" spans="2:3" x14ac:dyDescent="0.2">
      <c r="C57" s="43"/>
    </row>
  </sheetData>
  <mergeCells count="1">
    <mergeCell ref="D9:E9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4C0FE-7A0C-4B7A-AA09-6E18E7A79BE2}">
  <dimension ref="B3:J26"/>
  <sheetViews>
    <sheetView showGridLines="0" zoomScale="63" workbookViewId="0"/>
  </sheetViews>
  <sheetFormatPr defaultColWidth="8.7109375" defaultRowHeight="14.25" x14ac:dyDescent="0.2"/>
  <cols>
    <col min="1" max="1" width="4.5703125" style="13" customWidth="1"/>
    <col min="2" max="2" width="22" style="13" customWidth="1"/>
    <col min="3" max="3" width="8.7109375" style="13"/>
    <col min="4" max="5" width="21.42578125" style="13" customWidth="1"/>
    <col min="6" max="16384" width="8.7109375" style="13"/>
  </cols>
  <sheetData>
    <row r="3" spans="2:10" ht="15" x14ac:dyDescent="0.25">
      <c r="B3" s="16" t="s">
        <v>105</v>
      </c>
    </row>
    <row r="4" spans="2:10" x14ac:dyDescent="0.2">
      <c r="B4" s="64" t="s">
        <v>24</v>
      </c>
    </row>
    <row r="7" spans="2:10" ht="15.75" thickBot="1" x14ac:dyDescent="0.3">
      <c r="B7" s="80"/>
      <c r="C7" s="81"/>
      <c r="D7" s="82"/>
      <c r="E7" s="83"/>
      <c r="F7" s="80"/>
      <c r="G7" s="80"/>
      <c r="H7" s="80"/>
    </row>
    <row r="8" spans="2:10" ht="30.75" thickBot="1" x14ac:dyDescent="0.3">
      <c r="B8" s="84"/>
      <c r="C8" s="85" t="s">
        <v>104</v>
      </c>
      <c r="D8" s="86" t="s">
        <v>103</v>
      </c>
      <c r="E8" s="87" t="s">
        <v>102</v>
      </c>
      <c r="F8" s="88" t="s">
        <v>101</v>
      </c>
      <c r="G8" s="88"/>
      <c r="H8" s="89"/>
    </row>
    <row r="9" spans="2:10" ht="15.75" thickTop="1" x14ac:dyDescent="0.25">
      <c r="B9" s="80" t="s">
        <v>100</v>
      </c>
      <c r="C9" s="80" t="s">
        <v>99</v>
      </c>
      <c r="D9" s="90"/>
      <c r="E9" s="80"/>
      <c r="F9" s="80" t="s">
        <v>98</v>
      </c>
      <c r="G9" s="80" t="s">
        <v>62</v>
      </c>
      <c r="H9" s="80" t="s">
        <v>97</v>
      </c>
    </row>
    <row r="10" spans="2:10" x14ac:dyDescent="0.2">
      <c r="C10" s="74"/>
      <c r="D10" s="73"/>
    </row>
    <row r="11" spans="2:10" x14ac:dyDescent="0.2">
      <c r="B11" s="13" t="s">
        <v>96</v>
      </c>
      <c r="C11" s="69">
        <v>1.52</v>
      </c>
      <c r="D11" s="68">
        <f>TSM!F23*TSM!C7</f>
        <v>2757.4493796518982</v>
      </c>
      <c r="E11" s="46">
        <f>SUM([1]LBO!D115)</f>
        <v>452.06200000000001</v>
      </c>
      <c r="F11" s="43">
        <f>E11/D11</f>
        <v>0.16394208478890321</v>
      </c>
      <c r="G11" s="43">
        <f>E11/(E11+D11)</f>
        <v>0.14085072352945838</v>
      </c>
      <c r="H11" s="66">
        <f>C11/(1+(1-J11)*F11)</f>
        <v>1.3535697187951903</v>
      </c>
      <c r="J11" s="67">
        <v>0.25</v>
      </c>
    </row>
    <row r="12" spans="2:10" x14ac:dyDescent="0.2">
      <c r="C12" s="74"/>
      <c r="D12" s="73"/>
      <c r="H12" s="66"/>
    </row>
    <row r="13" spans="2:10" ht="15" x14ac:dyDescent="0.25">
      <c r="B13" s="77" t="s">
        <v>95</v>
      </c>
      <c r="C13" s="72"/>
      <c r="D13" s="71"/>
      <c r="E13" s="71"/>
      <c r="F13" s="71"/>
      <c r="G13" s="71"/>
      <c r="H13" s="70"/>
    </row>
    <row r="14" spans="2:10" x14ac:dyDescent="0.2">
      <c r="B14" s="13" t="s">
        <v>94</v>
      </c>
      <c r="C14" s="69">
        <v>1.1000000000000001</v>
      </c>
      <c r="D14" s="68">
        <v>42504.139000000003</v>
      </c>
      <c r="E14" s="46">
        <v>11333</v>
      </c>
      <c r="F14" s="43">
        <f t="shared" ref="F14:F19" si="0">E14/D14</f>
        <v>0.26663285662603353</v>
      </c>
      <c r="G14" s="43">
        <f t="shared" ref="G14:G19" si="1">E14/(E14+D14)</f>
        <v>0.21050524248697539</v>
      </c>
      <c r="H14" s="66">
        <f t="shared" ref="H14:H19" si="2">C14/(1+(1-J14)*F14)</f>
        <v>0.91668603741177468</v>
      </c>
      <c r="J14" s="67">
        <v>0.25</v>
      </c>
    </row>
    <row r="15" spans="2:10" x14ac:dyDescent="0.2">
      <c r="B15" s="13" t="s">
        <v>93</v>
      </c>
      <c r="C15" s="69">
        <v>0.99</v>
      </c>
      <c r="D15" s="68">
        <v>128272.79999999999</v>
      </c>
      <c r="E15" s="46">
        <v>25871.5</v>
      </c>
      <c r="F15" s="43">
        <f t="shared" si="0"/>
        <v>0.20169123929624988</v>
      </c>
      <c r="G15" s="43">
        <f t="shared" si="1"/>
        <v>0.1678394854691351</v>
      </c>
      <c r="H15" s="66">
        <f t="shared" si="2"/>
        <v>0.85992108760758534</v>
      </c>
      <c r="J15" s="67">
        <v>0.25</v>
      </c>
    </row>
    <row r="16" spans="2:10" x14ac:dyDescent="0.2">
      <c r="B16" s="13" t="s">
        <v>92</v>
      </c>
      <c r="C16" s="69">
        <v>0.74</v>
      </c>
      <c r="D16" s="68">
        <v>218762.58739999999</v>
      </c>
      <c r="E16" s="46">
        <v>51312</v>
      </c>
      <c r="F16" s="43">
        <f t="shared" si="0"/>
        <v>0.23455564596234066</v>
      </c>
      <c r="G16" s="43">
        <f t="shared" si="1"/>
        <v>0.1899919592360729</v>
      </c>
      <c r="H16" s="66">
        <f t="shared" si="2"/>
        <v>0.62929625738545369</v>
      </c>
      <c r="J16" s="67">
        <v>0.25</v>
      </c>
    </row>
    <row r="17" spans="2:10" x14ac:dyDescent="0.2">
      <c r="B17" s="13" t="s">
        <v>91</v>
      </c>
      <c r="C17" s="69">
        <v>1.31</v>
      </c>
      <c r="D17" s="68">
        <v>22811.448</v>
      </c>
      <c r="E17" s="46">
        <v>6335.9999999999991</v>
      </c>
      <c r="F17" s="43">
        <f t="shared" si="0"/>
        <v>0.27775527445693055</v>
      </c>
      <c r="G17" s="43">
        <f t="shared" si="1"/>
        <v>0.21737752135281274</v>
      </c>
      <c r="H17" s="66">
        <f t="shared" si="2"/>
        <v>1.0841530740276035</v>
      </c>
      <c r="J17" s="67">
        <v>0.25</v>
      </c>
    </row>
    <row r="18" spans="2:10" x14ac:dyDescent="0.2">
      <c r="B18" s="13" t="s">
        <v>90</v>
      </c>
      <c r="C18" s="69">
        <v>0.91</v>
      </c>
      <c r="D18" s="68">
        <v>16549.063999999998</v>
      </c>
      <c r="E18" s="46">
        <v>5197.241</v>
      </c>
      <c r="F18" s="43">
        <f t="shared" si="0"/>
        <v>0.31405045022485867</v>
      </c>
      <c r="G18" s="43">
        <f t="shared" si="1"/>
        <v>0.23899421074062926</v>
      </c>
      <c r="H18" s="66">
        <f t="shared" si="2"/>
        <v>0.73652135309517786</v>
      </c>
      <c r="J18" s="67">
        <v>0.25</v>
      </c>
    </row>
    <row r="19" spans="2:10" x14ac:dyDescent="0.2">
      <c r="B19" s="13" t="s">
        <v>89</v>
      </c>
      <c r="C19" s="69">
        <v>1.27</v>
      </c>
      <c r="D19" s="68">
        <v>74269.161869999996</v>
      </c>
      <c r="E19" s="46">
        <v>4262.7820000000002</v>
      </c>
      <c r="F19" s="43">
        <f t="shared" si="0"/>
        <v>5.7396392966727314E-2</v>
      </c>
      <c r="G19" s="43">
        <f t="shared" si="1"/>
        <v>5.4280866994156067E-2</v>
      </c>
      <c r="H19" s="66">
        <f t="shared" si="2"/>
        <v>1.2175862076654738</v>
      </c>
      <c r="J19" s="67">
        <v>0.25</v>
      </c>
    </row>
    <row r="21" spans="2:10" ht="15" x14ac:dyDescent="0.25">
      <c r="B21" s="91" t="s">
        <v>88</v>
      </c>
      <c r="C21" s="92">
        <f t="shared" ref="C21:H21" si="3">AVERAGE(C11:C19)</f>
        <v>1.1199999999999999</v>
      </c>
      <c r="D21" s="92">
        <f t="shared" si="3"/>
        <v>72275.235664235981</v>
      </c>
      <c r="E21" s="92">
        <f t="shared" si="3"/>
        <v>14966.369285714287</v>
      </c>
      <c r="F21" s="93">
        <f t="shared" si="3"/>
        <v>0.21657484918886344</v>
      </c>
      <c r="G21" s="93">
        <f t="shared" si="3"/>
        <v>0.17426285854417714</v>
      </c>
      <c r="H21" s="94">
        <f t="shared" si="3"/>
        <v>0.97110481942689408</v>
      </c>
    </row>
    <row r="22" spans="2:10" ht="15" x14ac:dyDescent="0.25">
      <c r="B22" s="95" t="s">
        <v>87</v>
      </c>
      <c r="C22" s="96">
        <f t="shared" ref="C22:H22" si="4">MEDIAN(C11:C19)</f>
        <v>1.1000000000000001</v>
      </c>
      <c r="D22" s="96">
        <f t="shared" si="4"/>
        <v>42504.139000000003</v>
      </c>
      <c r="E22" s="96">
        <f t="shared" si="4"/>
        <v>6335.9999999999991</v>
      </c>
      <c r="F22" s="97">
        <f t="shared" si="4"/>
        <v>0.23455564596234066</v>
      </c>
      <c r="G22" s="97">
        <f t="shared" si="4"/>
        <v>0.1899919592360729</v>
      </c>
      <c r="H22" s="98">
        <f t="shared" si="4"/>
        <v>0.91668603741177468</v>
      </c>
    </row>
    <row r="23" spans="2:10" ht="15" thickBot="1" x14ac:dyDescent="0.25"/>
    <row r="24" spans="2:10" x14ac:dyDescent="0.2">
      <c r="B24" s="99" t="s">
        <v>86</v>
      </c>
      <c r="C24" s="100"/>
      <c r="D24" s="100"/>
      <c r="E24" s="100"/>
      <c r="F24" s="100"/>
      <c r="G24" s="100"/>
      <c r="H24" s="101">
        <f>H22</f>
        <v>0.91668603741177468</v>
      </c>
    </row>
    <row r="25" spans="2:10" x14ac:dyDescent="0.2">
      <c r="B25" s="102" t="s">
        <v>85</v>
      </c>
      <c r="C25" s="103"/>
      <c r="D25" s="103"/>
      <c r="E25" s="103"/>
      <c r="F25" s="103"/>
      <c r="G25" s="103"/>
      <c r="H25" s="104">
        <f>F22</f>
        <v>0.23455564596234066</v>
      </c>
    </row>
    <row r="26" spans="2:10" ht="15" thickBot="1" x14ac:dyDescent="0.25">
      <c r="B26" s="105" t="s">
        <v>84</v>
      </c>
      <c r="C26" s="106"/>
      <c r="D26" s="106"/>
      <c r="E26" s="106"/>
      <c r="F26" s="106"/>
      <c r="G26" s="106"/>
      <c r="H26" s="107">
        <f>H24*(1+(H25*(1-$J$11)))</f>
        <v>1.0779464516491075</v>
      </c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DCF</vt:lpstr>
      <vt:lpstr>TSM</vt:lpstr>
      <vt:lpstr>WACC</vt:lpstr>
      <vt:lpstr>Beta Determination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schmitt</dc:creator>
  <cp:lastModifiedBy>Lauren Schmitt</cp:lastModifiedBy>
  <dcterms:created xsi:type="dcterms:W3CDTF">2025-04-05T01:43:38Z</dcterms:created>
  <dcterms:modified xsi:type="dcterms:W3CDTF">2025-04-05T11:37:38Z</dcterms:modified>
</cp:coreProperties>
</file>