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stonnurseriescom-my.sharepoint.com/personal/laurens_westonnurseries_com/Documents/Desktop/Lauren/EJ/"/>
    </mc:Choice>
  </mc:AlternateContent>
  <xr:revisionPtr revIDLastSave="0" documentId="8_{37496471-DFDF-47BB-80ED-4D9E28E29173}" xr6:coauthVersionLast="47" xr6:coauthVersionMax="47" xr10:uidLastSave="{00000000-0000-0000-0000-000000000000}"/>
  <bookViews>
    <workbookView xWindow="1560" yWindow="1275" windowWidth="14835" windowHeight="14925" xr2:uid="{6C4EDA94-C376-4481-A5D9-1728E59415FE}"/>
  </bookViews>
  <sheets>
    <sheet name="LBO" sheetId="1" r:id="rId1"/>
    <sheet name="TSM" sheetId="6" r:id="rId2"/>
  </sheets>
  <calcPr calcId="19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6" l="1"/>
  <c r="H27" i="6" s="1"/>
  <c r="C16" i="6" s="1"/>
  <c r="C19" i="6" s="1"/>
  <c r="D27" i="6"/>
  <c r="E16" i="6"/>
  <c r="F16" i="6" s="1"/>
  <c r="E15" i="6"/>
  <c r="F15" i="6" s="1"/>
  <c r="C8" i="6"/>
  <c r="C9" i="6" s="1"/>
  <c r="E14" i="6" s="1"/>
  <c r="F14" i="6" s="1"/>
  <c r="F19" i="6" s="1"/>
  <c r="F21" i="6" s="1"/>
  <c r="H18" i="1" l="1"/>
  <c r="F22" i="6"/>
  <c r="F23" i="6" s="1"/>
  <c r="H19" i="1" s="1"/>
  <c r="S66" i="1" l="1"/>
  <c r="D285" i="1" l="1"/>
  <c r="D286" i="1" s="1"/>
  <c r="D287" i="1" s="1"/>
  <c r="D288" i="1" s="1"/>
  <c r="H283" i="1"/>
  <c r="I283" i="1" s="1"/>
  <c r="J283" i="1" s="1"/>
  <c r="K283" i="1" s="1"/>
  <c r="F283" i="1"/>
  <c r="E283" i="1" s="1"/>
  <c r="D277" i="1"/>
  <c r="D278" i="1" s="1"/>
  <c r="D279" i="1" s="1"/>
  <c r="D280" i="1" s="1"/>
  <c r="F275" i="1"/>
  <c r="E275" i="1" s="1"/>
  <c r="H275" i="1"/>
  <c r="I275" i="1" s="1"/>
  <c r="J275" i="1" s="1"/>
  <c r="K275" i="1" s="1"/>
  <c r="B263" i="1" l="1"/>
  <c r="B264" i="1" s="1"/>
  <c r="B265" i="1" s="1"/>
  <c r="B266" i="1" s="1"/>
  <c r="G253" i="1"/>
  <c r="H253" i="1" s="1"/>
  <c r="I253" i="1" s="1"/>
  <c r="J253" i="1" s="1"/>
  <c r="K253" i="1" s="1"/>
  <c r="C257" i="1"/>
  <c r="H251" i="1"/>
  <c r="I251" i="1" s="1"/>
  <c r="J251" i="1" s="1"/>
  <c r="K251" i="1" s="1"/>
  <c r="E74" i="1"/>
  <c r="E75" i="1" s="1"/>
  <c r="F74" i="1"/>
  <c r="F75" i="1" s="1"/>
  <c r="D74" i="1"/>
  <c r="D75" i="1" s="1"/>
  <c r="C225" i="1"/>
  <c r="C215" i="1"/>
  <c r="C207" i="1"/>
  <c r="H191" i="1"/>
  <c r="I191" i="1" s="1"/>
  <c r="J191" i="1" s="1"/>
  <c r="K191" i="1" s="1"/>
  <c r="C199" i="1"/>
  <c r="G195" i="1"/>
  <c r="H195" i="1" s="1"/>
  <c r="I195" i="1" s="1"/>
  <c r="J195" i="1" s="1"/>
  <c r="K195" i="1" s="1"/>
  <c r="H167" i="1"/>
  <c r="I167" i="1" s="1"/>
  <c r="J167" i="1" s="1"/>
  <c r="K167" i="1" s="1"/>
  <c r="H140" i="1"/>
  <c r="I140" i="1" s="1"/>
  <c r="J140" i="1" s="1"/>
  <c r="K140" i="1" s="1"/>
  <c r="E136" i="1"/>
  <c r="D136" i="1"/>
  <c r="E129" i="1"/>
  <c r="F129" i="1" s="1"/>
  <c r="E130" i="1"/>
  <c r="F130" i="1" s="1"/>
  <c r="E131" i="1"/>
  <c r="F131" i="1" s="1"/>
  <c r="E128" i="1"/>
  <c r="F128" i="1" s="1"/>
  <c r="E126" i="1"/>
  <c r="F126" i="1" s="1"/>
  <c r="E115" i="1"/>
  <c r="F115" i="1" s="1"/>
  <c r="N85" i="1"/>
  <c r="N84" i="1"/>
  <c r="N83" i="1"/>
  <c r="E78" i="1"/>
  <c r="F78" i="1"/>
  <c r="G78" i="1" s="1"/>
  <c r="D78" i="1"/>
  <c r="G61" i="1"/>
  <c r="H61" i="1" s="1"/>
  <c r="I61" i="1" s="1"/>
  <c r="J61" i="1" s="1"/>
  <c r="K61" i="1" s="1"/>
  <c r="G60" i="1"/>
  <c r="H60" i="1" s="1"/>
  <c r="I60" i="1" s="1"/>
  <c r="J60" i="1" s="1"/>
  <c r="K60" i="1" s="1"/>
  <c r="G58" i="1"/>
  <c r="H58" i="1" s="1"/>
  <c r="I58" i="1" s="1"/>
  <c r="J58" i="1" s="1"/>
  <c r="K58" i="1" s="1"/>
  <c r="F125" i="1"/>
  <c r="F124" i="1"/>
  <c r="F123" i="1"/>
  <c r="F121" i="1"/>
  <c r="G121" i="1" s="1"/>
  <c r="H121" i="1" s="1"/>
  <c r="I121" i="1" s="1"/>
  <c r="J121" i="1" s="1"/>
  <c r="K121" i="1" s="1"/>
  <c r="F120" i="1"/>
  <c r="G120" i="1" s="1"/>
  <c r="H120" i="1" s="1"/>
  <c r="I120" i="1" s="1"/>
  <c r="J120" i="1" s="1"/>
  <c r="K120" i="1" s="1"/>
  <c r="F112" i="1"/>
  <c r="F157" i="1" s="1"/>
  <c r="F158" i="1" s="1"/>
  <c r="G158" i="1" s="1"/>
  <c r="F111" i="1"/>
  <c r="G111" i="1" s="1"/>
  <c r="F110" i="1"/>
  <c r="F155" i="1" s="1"/>
  <c r="F156" i="1" s="1"/>
  <c r="G156" i="1" s="1"/>
  <c r="F109" i="1"/>
  <c r="F153" i="1" s="1"/>
  <c r="F154" i="1" s="1"/>
  <c r="G154" i="1" s="1"/>
  <c r="H154" i="1" s="1"/>
  <c r="I154" i="1" s="1"/>
  <c r="J154" i="1" s="1"/>
  <c r="K154" i="1" s="1"/>
  <c r="F100" i="1"/>
  <c r="G100" i="1" s="1"/>
  <c r="H100" i="1" s="1"/>
  <c r="I100" i="1" s="1"/>
  <c r="J100" i="1" s="1"/>
  <c r="K100" i="1" s="1"/>
  <c r="F99" i="1"/>
  <c r="G99" i="1" s="1"/>
  <c r="H99" i="1" s="1"/>
  <c r="I99" i="1" s="1"/>
  <c r="J99" i="1" s="1"/>
  <c r="K99" i="1" s="1"/>
  <c r="F98" i="1"/>
  <c r="G98" i="1" s="1"/>
  <c r="F97" i="1"/>
  <c r="F96" i="1"/>
  <c r="F95" i="1"/>
  <c r="F92" i="1"/>
  <c r="F148" i="1" s="1"/>
  <c r="F149" i="1" s="1"/>
  <c r="G149" i="1" s="1"/>
  <c r="F91" i="1"/>
  <c r="F146" i="1" s="1"/>
  <c r="F147" i="1" s="1"/>
  <c r="G147" i="1" s="1"/>
  <c r="F90" i="1"/>
  <c r="F144" i="1" s="1"/>
  <c r="F145" i="1" s="1"/>
  <c r="G145" i="1" s="1"/>
  <c r="F89" i="1"/>
  <c r="F142" i="1" s="1"/>
  <c r="F143" i="1" s="1"/>
  <c r="G143" i="1" s="1"/>
  <c r="H85" i="1"/>
  <c r="I85" i="1" s="1"/>
  <c r="J85" i="1" s="1"/>
  <c r="K85" i="1" s="1"/>
  <c r="F56" i="1"/>
  <c r="G56" i="1" s="1"/>
  <c r="H56" i="1" s="1"/>
  <c r="I56" i="1" s="1"/>
  <c r="J56" i="1" s="1"/>
  <c r="K56" i="1" s="1"/>
  <c r="E56" i="1"/>
  <c r="D56" i="1"/>
  <c r="F53" i="1"/>
  <c r="G53" i="1" s="1"/>
  <c r="H53" i="1" s="1"/>
  <c r="I53" i="1" s="1"/>
  <c r="J53" i="1" s="1"/>
  <c r="K53" i="1" s="1"/>
  <c r="E53" i="1"/>
  <c r="D53" i="1"/>
  <c r="F50" i="1"/>
  <c r="G50" i="1" s="1"/>
  <c r="H50" i="1" s="1"/>
  <c r="E50" i="1"/>
  <c r="D50" i="1"/>
  <c r="F47" i="1"/>
  <c r="G47" i="1" s="1"/>
  <c r="E47" i="1"/>
  <c r="D47" i="1"/>
  <c r="F44" i="1"/>
  <c r="G44" i="1" s="1"/>
  <c r="H44" i="1" s="1"/>
  <c r="I44" i="1" s="1"/>
  <c r="J44" i="1" s="1"/>
  <c r="K44" i="1" s="1"/>
  <c r="E44" i="1"/>
  <c r="D44" i="1"/>
  <c r="F41" i="1"/>
  <c r="G41" i="1" s="1"/>
  <c r="G40" i="1" s="1"/>
  <c r="E41" i="1"/>
  <c r="G38" i="1"/>
  <c r="H38" i="1" s="1"/>
  <c r="I38" i="1" s="1"/>
  <c r="J38" i="1" s="1"/>
  <c r="K38" i="1" s="1"/>
  <c r="C31" i="1"/>
  <c r="E88" i="1" s="1"/>
  <c r="H29" i="1"/>
  <c r="H24" i="1"/>
  <c r="C30" i="1" s="1"/>
  <c r="E119" i="1" s="1"/>
  <c r="H21" i="1"/>
  <c r="G77" i="1" l="1"/>
  <c r="G175" i="1" s="1"/>
  <c r="G176" i="1" s="1"/>
  <c r="H98" i="1"/>
  <c r="F151" i="1"/>
  <c r="F160" i="1"/>
  <c r="H149" i="1"/>
  <c r="G148" i="1"/>
  <c r="G92" i="1" s="1"/>
  <c r="G142" i="1"/>
  <c r="G89" i="1" s="1"/>
  <c r="H143" i="1"/>
  <c r="H158" i="1"/>
  <c r="G157" i="1"/>
  <c r="G112" i="1" s="1"/>
  <c r="H147" i="1"/>
  <c r="G144" i="1"/>
  <c r="G90" i="1" s="1"/>
  <c r="H145" i="1"/>
  <c r="H156" i="1"/>
  <c r="G155" i="1"/>
  <c r="G110" i="1" s="1"/>
  <c r="N86" i="1"/>
  <c r="H111" i="1"/>
  <c r="F88" i="1"/>
  <c r="G231" i="1" s="1"/>
  <c r="I50" i="1"/>
  <c r="H78" i="1"/>
  <c r="H47" i="1"/>
  <c r="G46" i="1"/>
  <c r="G43" i="1"/>
  <c r="G52" i="1"/>
  <c r="G55" i="1"/>
  <c r="G169" i="1" s="1"/>
  <c r="G49" i="1"/>
  <c r="H41" i="1"/>
  <c r="I41" i="1" s="1"/>
  <c r="J41" i="1" s="1"/>
  <c r="K41" i="1" s="1"/>
  <c r="I29" i="1"/>
  <c r="F113" i="1"/>
  <c r="F119" i="1"/>
  <c r="G224" i="1" s="1"/>
  <c r="D30" i="1"/>
  <c r="C29" i="1"/>
  <c r="E118" i="1" s="1"/>
  <c r="D31" i="1"/>
  <c r="C28" i="1"/>
  <c r="E117" i="1" s="1"/>
  <c r="H20" i="1" l="1"/>
  <c r="H28" i="1" s="1"/>
  <c r="I28" i="1" s="1"/>
  <c r="G74" i="1"/>
  <c r="G252" i="1" s="1"/>
  <c r="G254" i="1" s="1"/>
  <c r="G225" i="1"/>
  <c r="G95" i="1"/>
  <c r="F93" i="1"/>
  <c r="F188" i="1"/>
  <c r="G186" i="1" s="1"/>
  <c r="G194" i="1" s="1"/>
  <c r="I98" i="1"/>
  <c r="F162" i="1"/>
  <c r="I147" i="1"/>
  <c r="I158" i="1"/>
  <c r="I143" i="1"/>
  <c r="I156" i="1"/>
  <c r="I145" i="1"/>
  <c r="I149" i="1"/>
  <c r="I111" i="1"/>
  <c r="I47" i="1"/>
  <c r="I78" i="1"/>
  <c r="G62" i="1"/>
  <c r="J50" i="1"/>
  <c r="H40" i="1"/>
  <c r="F118" i="1"/>
  <c r="G216" i="1" s="1"/>
  <c r="D29" i="1"/>
  <c r="F117" i="1"/>
  <c r="G208" i="1" s="1"/>
  <c r="D28" i="1"/>
  <c r="H22" i="1" l="1"/>
  <c r="D11" i="1" s="1"/>
  <c r="H30" i="1" s="1"/>
  <c r="H67" i="1" s="1"/>
  <c r="H170" i="1" s="1"/>
  <c r="N87" i="1"/>
  <c r="N88" i="1" s="1"/>
  <c r="E101" i="1" s="1"/>
  <c r="F101" i="1" s="1"/>
  <c r="G101" i="1" s="1"/>
  <c r="H101" i="1" s="1"/>
  <c r="G75" i="1"/>
  <c r="G171" i="1"/>
  <c r="G66" i="1"/>
  <c r="H46" i="1"/>
  <c r="H77" i="1"/>
  <c r="H175" i="1" s="1"/>
  <c r="H176" i="1" s="1"/>
  <c r="J98" i="1"/>
  <c r="H144" i="1"/>
  <c r="H90" i="1" s="1"/>
  <c r="H155" i="1"/>
  <c r="H110" i="1" s="1"/>
  <c r="H157" i="1"/>
  <c r="H112" i="1" s="1"/>
  <c r="H142" i="1"/>
  <c r="H89" i="1" s="1"/>
  <c r="G64" i="1"/>
  <c r="G153" i="1"/>
  <c r="G146" i="1"/>
  <c r="J145" i="1"/>
  <c r="J156" i="1"/>
  <c r="H148" i="1"/>
  <c r="H92" i="1" s="1"/>
  <c r="J143" i="1"/>
  <c r="J158" i="1"/>
  <c r="J149" i="1"/>
  <c r="J147" i="1"/>
  <c r="J111" i="1"/>
  <c r="K50" i="1"/>
  <c r="F122" i="1"/>
  <c r="I40" i="1"/>
  <c r="H52" i="1"/>
  <c r="H43" i="1"/>
  <c r="H55" i="1"/>
  <c r="H169" i="1" s="1"/>
  <c r="H49" i="1"/>
  <c r="J78" i="1"/>
  <c r="J47" i="1"/>
  <c r="I67" i="1" l="1"/>
  <c r="I170" i="1" s="1"/>
  <c r="E102" i="1"/>
  <c r="F102" i="1" s="1"/>
  <c r="F103" i="1" s="1"/>
  <c r="F105" i="1" s="1"/>
  <c r="I30" i="1"/>
  <c r="H33" i="1"/>
  <c r="C33" i="1" s="1"/>
  <c r="C32" i="1" s="1"/>
  <c r="E127" i="1" s="1"/>
  <c r="F127" i="1" s="1"/>
  <c r="H23" i="1"/>
  <c r="J67" i="1"/>
  <c r="J170" i="1" s="1"/>
  <c r="K67" i="1"/>
  <c r="K170" i="1" s="1"/>
  <c r="G67" i="1"/>
  <c r="G170" i="1" s="1"/>
  <c r="H74" i="1"/>
  <c r="I157" i="1"/>
  <c r="I112" i="1" s="1"/>
  <c r="I148" i="1"/>
  <c r="I92" i="1" s="1"/>
  <c r="I142" i="1"/>
  <c r="I89" i="1" s="1"/>
  <c r="G160" i="1"/>
  <c r="G109" i="1"/>
  <c r="G113" i="1" s="1"/>
  <c r="I77" i="1"/>
  <c r="I175" i="1" s="1"/>
  <c r="I176" i="1" s="1"/>
  <c r="K98" i="1"/>
  <c r="I144" i="1"/>
  <c r="I90" i="1" s="1"/>
  <c r="H95" i="1"/>
  <c r="I101" i="1"/>
  <c r="G151" i="1"/>
  <c r="G91" i="1"/>
  <c r="I155" i="1"/>
  <c r="I110" i="1" s="1"/>
  <c r="K143" i="1"/>
  <c r="K147" i="1"/>
  <c r="K156" i="1"/>
  <c r="K145" i="1"/>
  <c r="K149" i="1"/>
  <c r="K158" i="1"/>
  <c r="K111" i="1"/>
  <c r="K47" i="1"/>
  <c r="J40" i="1"/>
  <c r="I43" i="1"/>
  <c r="I52" i="1"/>
  <c r="I55" i="1"/>
  <c r="I169" i="1" s="1"/>
  <c r="I49" i="1"/>
  <c r="K78" i="1"/>
  <c r="H62" i="1"/>
  <c r="I46" i="1"/>
  <c r="D33" i="1" l="1"/>
  <c r="D32" i="1"/>
  <c r="G102" i="1"/>
  <c r="G103" i="1" s="1"/>
  <c r="I33" i="1"/>
  <c r="G259" i="1"/>
  <c r="H259" i="1" s="1"/>
  <c r="I259" i="1" s="1"/>
  <c r="J259" i="1" s="1"/>
  <c r="K259" i="1" s="1"/>
  <c r="H75" i="1"/>
  <c r="H252" i="1"/>
  <c r="H254" i="1" s="1"/>
  <c r="I74" i="1"/>
  <c r="J46" i="1"/>
  <c r="J148" i="1"/>
  <c r="J92" i="1" s="1"/>
  <c r="J77" i="1"/>
  <c r="J175" i="1" s="1"/>
  <c r="J176" i="1" s="1"/>
  <c r="G162" i="1"/>
  <c r="G163" i="1" s="1"/>
  <c r="G172" i="1" s="1"/>
  <c r="J101" i="1"/>
  <c r="F132" i="1"/>
  <c r="F134" i="1" s="1"/>
  <c r="F136" i="1" s="1"/>
  <c r="G127" i="1"/>
  <c r="I95" i="1"/>
  <c r="J144" i="1"/>
  <c r="J90" i="1" s="1"/>
  <c r="J155" i="1"/>
  <c r="J110" i="1" s="1"/>
  <c r="H64" i="1"/>
  <c r="H153" i="1"/>
  <c r="H146" i="1"/>
  <c r="J157" i="1"/>
  <c r="J112" i="1" s="1"/>
  <c r="J142" i="1"/>
  <c r="J89" i="1" s="1"/>
  <c r="I62" i="1"/>
  <c r="K40" i="1"/>
  <c r="J43" i="1"/>
  <c r="J52" i="1"/>
  <c r="J55" i="1"/>
  <c r="J169" i="1" s="1"/>
  <c r="J49" i="1"/>
  <c r="H102" i="1" l="1"/>
  <c r="I102" i="1" s="1"/>
  <c r="G261" i="1"/>
  <c r="H261" i="1" s="1"/>
  <c r="I261" i="1" s="1"/>
  <c r="J261" i="1" s="1"/>
  <c r="K261" i="1" s="1"/>
  <c r="I75" i="1"/>
  <c r="I252" i="1"/>
  <c r="I254" i="1" s="1"/>
  <c r="J74" i="1"/>
  <c r="K46" i="1"/>
  <c r="K77" i="1"/>
  <c r="K175" i="1" s="1"/>
  <c r="K176" i="1" s="1"/>
  <c r="K148" i="1"/>
  <c r="K92" i="1" s="1"/>
  <c r="K155" i="1"/>
  <c r="K110" i="1" s="1"/>
  <c r="K144" i="1"/>
  <c r="K90" i="1" s="1"/>
  <c r="K101" i="1"/>
  <c r="H160" i="1"/>
  <c r="H109" i="1"/>
  <c r="H113" i="1" s="1"/>
  <c r="H127" i="1"/>
  <c r="H151" i="1"/>
  <c r="H91" i="1"/>
  <c r="J95" i="1"/>
  <c r="I64" i="1"/>
  <c r="I153" i="1"/>
  <c r="I146" i="1"/>
  <c r="K157" i="1"/>
  <c r="K112" i="1" s="1"/>
  <c r="K142" i="1"/>
  <c r="K89" i="1" s="1"/>
  <c r="J62" i="1"/>
  <c r="K52" i="1"/>
  <c r="K55" i="1"/>
  <c r="K169" i="1" s="1"/>
  <c r="K43" i="1"/>
  <c r="K49" i="1"/>
  <c r="H103" i="1" l="1"/>
  <c r="J75" i="1"/>
  <c r="J252" i="1"/>
  <c r="J254" i="1" s="1"/>
  <c r="K74" i="1"/>
  <c r="H162" i="1"/>
  <c r="H163" i="1" s="1"/>
  <c r="H172" i="1" s="1"/>
  <c r="I151" i="1"/>
  <c r="I91" i="1"/>
  <c r="I127" i="1"/>
  <c r="I160" i="1"/>
  <c r="I109" i="1"/>
  <c r="I113" i="1" s="1"/>
  <c r="J102" i="1"/>
  <c r="I103" i="1"/>
  <c r="K95" i="1"/>
  <c r="J64" i="1"/>
  <c r="J153" i="1"/>
  <c r="J146" i="1"/>
  <c r="K62" i="1"/>
  <c r="K75" i="1" l="1"/>
  <c r="K252" i="1"/>
  <c r="K254" i="1" s="1"/>
  <c r="I162" i="1"/>
  <c r="I163" i="1" s="1"/>
  <c r="I172" i="1" s="1"/>
  <c r="K102" i="1"/>
  <c r="K103" i="1" s="1"/>
  <c r="J103" i="1"/>
  <c r="J151" i="1"/>
  <c r="J91" i="1"/>
  <c r="J160" i="1"/>
  <c r="J109" i="1"/>
  <c r="J113" i="1" s="1"/>
  <c r="J127" i="1"/>
  <c r="K64" i="1"/>
  <c r="K153" i="1"/>
  <c r="K146" i="1"/>
  <c r="J162" i="1" l="1"/>
  <c r="J163" i="1" s="1"/>
  <c r="J172" i="1" s="1"/>
  <c r="K151" i="1"/>
  <c r="K91" i="1"/>
  <c r="K127" i="1"/>
  <c r="K160" i="1"/>
  <c r="K109" i="1"/>
  <c r="K113" i="1" s="1"/>
  <c r="K162" i="1" l="1"/>
  <c r="K163" i="1" s="1"/>
  <c r="K172" i="1" s="1"/>
  <c r="G65" i="1"/>
  <c r="H65" i="1"/>
  <c r="I65" i="1"/>
  <c r="J65" i="1"/>
  <c r="K65" i="1"/>
  <c r="H66" i="1"/>
  <c r="I66" i="1"/>
  <c r="J66" i="1"/>
  <c r="K66" i="1"/>
  <c r="G69" i="1"/>
  <c r="H69" i="1"/>
  <c r="I69" i="1"/>
  <c r="J69" i="1"/>
  <c r="K69" i="1"/>
  <c r="G70" i="1"/>
  <c r="H70" i="1"/>
  <c r="I70" i="1"/>
  <c r="J70" i="1"/>
  <c r="K70" i="1"/>
  <c r="G71" i="1"/>
  <c r="H71" i="1"/>
  <c r="I71" i="1"/>
  <c r="J71" i="1"/>
  <c r="K71" i="1"/>
  <c r="G88" i="1"/>
  <c r="H88" i="1"/>
  <c r="I88" i="1"/>
  <c r="J88" i="1"/>
  <c r="K88" i="1"/>
  <c r="G93" i="1"/>
  <c r="H93" i="1"/>
  <c r="I93" i="1"/>
  <c r="J93" i="1"/>
  <c r="K93" i="1"/>
  <c r="G105" i="1"/>
  <c r="H105" i="1"/>
  <c r="I105" i="1"/>
  <c r="J105" i="1"/>
  <c r="K105" i="1"/>
  <c r="G116" i="1"/>
  <c r="H116" i="1"/>
  <c r="I116" i="1"/>
  <c r="J116" i="1"/>
  <c r="K116" i="1"/>
  <c r="G117" i="1"/>
  <c r="H117" i="1"/>
  <c r="I117" i="1"/>
  <c r="J117" i="1"/>
  <c r="K117" i="1"/>
  <c r="G118" i="1"/>
  <c r="H118" i="1"/>
  <c r="I118" i="1"/>
  <c r="J118" i="1"/>
  <c r="K118" i="1"/>
  <c r="G119" i="1"/>
  <c r="H119" i="1"/>
  <c r="I119" i="1"/>
  <c r="J119" i="1"/>
  <c r="K119" i="1"/>
  <c r="G122" i="1"/>
  <c r="H122" i="1"/>
  <c r="I122" i="1"/>
  <c r="J122" i="1"/>
  <c r="K122" i="1"/>
  <c r="G129" i="1"/>
  <c r="H129" i="1"/>
  <c r="I129" i="1"/>
  <c r="J129" i="1"/>
  <c r="K129" i="1"/>
  <c r="G132" i="1"/>
  <c r="H132" i="1"/>
  <c r="I132" i="1"/>
  <c r="J132" i="1"/>
  <c r="K132" i="1"/>
  <c r="G134" i="1"/>
  <c r="H134" i="1"/>
  <c r="I134" i="1"/>
  <c r="J134" i="1"/>
  <c r="K134" i="1"/>
  <c r="G136" i="1"/>
  <c r="H136" i="1"/>
  <c r="I136" i="1"/>
  <c r="J136" i="1"/>
  <c r="K136" i="1"/>
  <c r="G168" i="1"/>
  <c r="H168" i="1"/>
  <c r="I168" i="1"/>
  <c r="J168" i="1"/>
  <c r="K168" i="1"/>
  <c r="H171" i="1"/>
  <c r="I171" i="1"/>
  <c r="J171" i="1"/>
  <c r="K171" i="1"/>
  <c r="G173" i="1"/>
  <c r="H173" i="1"/>
  <c r="I173" i="1"/>
  <c r="J173" i="1"/>
  <c r="K173" i="1"/>
  <c r="G178" i="1"/>
  <c r="H178" i="1"/>
  <c r="I178" i="1"/>
  <c r="J178" i="1"/>
  <c r="K178" i="1"/>
  <c r="G180" i="1"/>
  <c r="H180" i="1"/>
  <c r="I180" i="1"/>
  <c r="J180" i="1"/>
  <c r="K180" i="1"/>
  <c r="G181" i="1"/>
  <c r="H181" i="1"/>
  <c r="I181" i="1"/>
  <c r="J181" i="1"/>
  <c r="K181" i="1"/>
  <c r="G182" i="1"/>
  <c r="H182" i="1"/>
  <c r="I182" i="1"/>
  <c r="J182" i="1"/>
  <c r="K182" i="1"/>
  <c r="G183" i="1"/>
  <c r="H183" i="1"/>
  <c r="I183" i="1"/>
  <c r="J183" i="1"/>
  <c r="K183" i="1"/>
  <c r="G184" i="1"/>
  <c r="H184" i="1"/>
  <c r="I184" i="1"/>
  <c r="J184" i="1"/>
  <c r="K184" i="1"/>
  <c r="H186" i="1"/>
  <c r="I186" i="1"/>
  <c r="J186" i="1"/>
  <c r="K186" i="1"/>
  <c r="G187" i="1"/>
  <c r="H187" i="1"/>
  <c r="I187" i="1"/>
  <c r="J187" i="1"/>
  <c r="K187" i="1"/>
  <c r="G188" i="1"/>
  <c r="H188" i="1"/>
  <c r="I188" i="1"/>
  <c r="J188" i="1"/>
  <c r="K188" i="1"/>
  <c r="G193" i="1"/>
  <c r="H193" i="1"/>
  <c r="I193" i="1"/>
  <c r="J193" i="1"/>
  <c r="K193" i="1"/>
  <c r="H194" i="1"/>
  <c r="I194" i="1"/>
  <c r="J194" i="1"/>
  <c r="K194" i="1"/>
  <c r="G196" i="1"/>
  <c r="H196" i="1"/>
  <c r="I196" i="1"/>
  <c r="J196" i="1"/>
  <c r="K196" i="1"/>
  <c r="H200" i="1"/>
  <c r="I200" i="1"/>
  <c r="J200" i="1"/>
  <c r="K200" i="1"/>
  <c r="G201" i="1"/>
  <c r="H201" i="1"/>
  <c r="I201" i="1"/>
  <c r="J201" i="1"/>
  <c r="K201" i="1"/>
  <c r="G202" i="1"/>
  <c r="H202" i="1"/>
  <c r="I202" i="1"/>
  <c r="J202" i="1"/>
  <c r="K202" i="1"/>
  <c r="G203" i="1"/>
  <c r="H203" i="1"/>
  <c r="I203" i="1"/>
  <c r="J203" i="1"/>
  <c r="K203" i="1"/>
  <c r="G205" i="1"/>
  <c r="H205" i="1"/>
  <c r="I205" i="1"/>
  <c r="J205" i="1"/>
  <c r="K205" i="1"/>
  <c r="H208" i="1"/>
  <c r="I208" i="1"/>
  <c r="J208" i="1"/>
  <c r="K208" i="1"/>
  <c r="G209" i="1"/>
  <c r="H209" i="1"/>
  <c r="I209" i="1"/>
  <c r="J209" i="1"/>
  <c r="K209" i="1"/>
  <c r="G210" i="1"/>
  <c r="H210" i="1"/>
  <c r="I210" i="1"/>
  <c r="J210" i="1"/>
  <c r="K210" i="1"/>
  <c r="G211" i="1"/>
  <c r="H211" i="1"/>
  <c r="I211" i="1"/>
  <c r="J211" i="1"/>
  <c r="K211" i="1"/>
  <c r="G213" i="1"/>
  <c r="H213" i="1"/>
  <c r="I213" i="1"/>
  <c r="J213" i="1"/>
  <c r="K213" i="1"/>
  <c r="H216" i="1"/>
  <c r="I216" i="1"/>
  <c r="J216" i="1"/>
  <c r="K216" i="1"/>
  <c r="G217" i="1"/>
  <c r="H217" i="1"/>
  <c r="I217" i="1"/>
  <c r="J217" i="1"/>
  <c r="K217" i="1"/>
  <c r="G218" i="1"/>
  <c r="H218" i="1"/>
  <c r="I218" i="1"/>
  <c r="J218" i="1"/>
  <c r="K218" i="1"/>
  <c r="G219" i="1"/>
  <c r="H219" i="1"/>
  <c r="I219" i="1"/>
  <c r="J219" i="1"/>
  <c r="K219" i="1"/>
  <c r="G221" i="1"/>
  <c r="H221" i="1"/>
  <c r="I221" i="1"/>
  <c r="J221" i="1"/>
  <c r="K221" i="1"/>
  <c r="H224" i="1"/>
  <c r="I224" i="1"/>
  <c r="J224" i="1"/>
  <c r="K224" i="1"/>
  <c r="H225" i="1"/>
  <c r="I225" i="1"/>
  <c r="J225" i="1"/>
  <c r="K225" i="1"/>
  <c r="G226" i="1"/>
  <c r="H226" i="1"/>
  <c r="I226" i="1"/>
  <c r="J226" i="1"/>
  <c r="K226" i="1"/>
  <c r="G227" i="1"/>
  <c r="H227" i="1"/>
  <c r="I227" i="1"/>
  <c r="J227" i="1"/>
  <c r="K227" i="1"/>
  <c r="G228" i="1"/>
  <c r="H228" i="1"/>
  <c r="I228" i="1"/>
  <c r="J228" i="1"/>
  <c r="K228" i="1"/>
  <c r="H231" i="1"/>
  <c r="I231" i="1"/>
  <c r="J231" i="1"/>
  <c r="K231" i="1"/>
  <c r="G232" i="1"/>
  <c r="H232" i="1"/>
  <c r="I232" i="1"/>
  <c r="J232" i="1"/>
  <c r="K232" i="1"/>
  <c r="G233" i="1"/>
  <c r="H233" i="1"/>
  <c r="I233" i="1"/>
  <c r="J233" i="1"/>
  <c r="K233" i="1"/>
  <c r="G234" i="1"/>
  <c r="H234" i="1"/>
  <c r="I234" i="1"/>
  <c r="J234" i="1"/>
  <c r="K234" i="1"/>
  <c r="G237" i="1"/>
  <c r="H237" i="1"/>
  <c r="I237" i="1"/>
  <c r="J237" i="1"/>
  <c r="K237" i="1"/>
  <c r="G238" i="1"/>
  <c r="H238" i="1"/>
  <c r="I238" i="1"/>
  <c r="J238" i="1"/>
  <c r="K238" i="1"/>
  <c r="G240" i="1"/>
  <c r="H240" i="1"/>
  <c r="I240" i="1"/>
  <c r="J240" i="1"/>
  <c r="K240" i="1"/>
  <c r="G241" i="1"/>
  <c r="H241" i="1"/>
  <c r="I241" i="1"/>
  <c r="J241" i="1"/>
  <c r="K241" i="1"/>
  <c r="G244" i="1"/>
  <c r="H244" i="1"/>
  <c r="I244" i="1"/>
  <c r="J244" i="1"/>
  <c r="K244" i="1"/>
  <c r="G245" i="1"/>
  <c r="H245" i="1"/>
  <c r="I245" i="1"/>
  <c r="J245" i="1"/>
  <c r="K245" i="1"/>
  <c r="G247" i="1"/>
  <c r="H247" i="1"/>
  <c r="I247" i="1"/>
  <c r="J247" i="1"/>
  <c r="K247" i="1"/>
  <c r="G248" i="1"/>
  <c r="H248" i="1"/>
  <c r="I248" i="1"/>
  <c r="J248" i="1"/>
  <c r="K248" i="1"/>
  <c r="G255" i="1"/>
  <c r="H255" i="1"/>
  <c r="I255" i="1"/>
  <c r="J255" i="1"/>
  <c r="K255" i="1"/>
  <c r="G256" i="1"/>
  <c r="H256" i="1"/>
  <c r="I256" i="1"/>
  <c r="J256" i="1"/>
  <c r="K256" i="1"/>
  <c r="G257" i="1"/>
  <c r="H257" i="1"/>
  <c r="I257" i="1"/>
  <c r="J257" i="1"/>
  <c r="K257" i="1"/>
  <c r="G258" i="1"/>
  <c r="H258" i="1"/>
  <c r="I258" i="1"/>
  <c r="J258" i="1"/>
  <c r="K258" i="1"/>
  <c r="G262" i="1"/>
  <c r="H263" i="1"/>
  <c r="I264" i="1"/>
  <c r="J265" i="1"/>
  <c r="K266" i="1"/>
  <c r="G267" i="1"/>
  <c r="H267" i="1"/>
  <c r="I267" i="1"/>
  <c r="J267" i="1"/>
  <c r="K267" i="1"/>
  <c r="G268" i="1"/>
  <c r="H268" i="1"/>
  <c r="I268" i="1"/>
  <c r="J268" i="1"/>
  <c r="K268" i="1"/>
  <c r="D275" i="1"/>
  <c r="D28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schmitt</author>
  </authors>
  <commentList>
    <comment ref="D18" authorId="0" shapeId="0" xr:uid="{B5CB7208-676A-442F-9AD7-D31195E2D4AC}">
      <text>
        <r>
          <rPr>
            <b/>
            <sz val="9"/>
            <color indexed="81"/>
            <rFont val="Tahoma"/>
            <charset val="1"/>
          </rPr>
          <t>eric schmitt:</t>
        </r>
        <r>
          <rPr>
            <sz val="9"/>
            <color indexed="81"/>
            <rFont val="Tahoma"/>
            <charset val="1"/>
          </rPr>
          <t xml:space="preserve">
1=on
0=off
</t>
        </r>
      </text>
    </comment>
  </commentList>
</comments>
</file>

<file path=xl/sharedStrings.xml><?xml version="1.0" encoding="utf-8"?>
<sst xmlns="http://schemas.openxmlformats.org/spreadsheetml/2006/main" count="268" uniqueCount="203">
  <si>
    <t>xx</t>
  </si>
  <si>
    <t>Assumptions</t>
  </si>
  <si>
    <t>Debt</t>
  </si>
  <si>
    <t>Mult</t>
  </si>
  <si>
    <t>Rate</t>
  </si>
  <si>
    <t>Transaction Fees (% of TEV)</t>
  </si>
  <si>
    <t>Revolver</t>
  </si>
  <si>
    <t>Transaction Fees ($)</t>
  </si>
  <si>
    <t>Bank Debt</t>
  </si>
  <si>
    <t>Min Cash</t>
  </si>
  <si>
    <t>Sub Debt</t>
  </si>
  <si>
    <t>Tax Rate</t>
  </si>
  <si>
    <t>PIK Sub Debt</t>
  </si>
  <si>
    <t>Purchase Price Assumptions</t>
  </si>
  <si>
    <t>Takeout Share Price</t>
  </si>
  <si>
    <t>FDSO</t>
  </si>
  <si>
    <t>Equity Value</t>
  </si>
  <si>
    <t>Plus: Net Debt</t>
  </si>
  <si>
    <t>TEV at Closing</t>
  </si>
  <si>
    <t>Implied '24 EBITDA Multiple</t>
  </si>
  <si>
    <t>2024 EBITDA</t>
  </si>
  <si>
    <t>Sources</t>
  </si>
  <si>
    <t>Amount</t>
  </si>
  <si>
    <t>Uses</t>
  </si>
  <si>
    <t>Purchase Equity</t>
  </si>
  <si>
    <t>Refinanced Debt</t>
  </si>
  <si>
    <t>Transaction Fees</t>
  </si>
  <si>
    <t>Cash Used</t>
  </si>
  <si>
    <t>Sponsor Equity</t>
  </si>
  <si>
    <t>Total Sources</t>
  </si>
  <si>
    <t>Total Uses</t>
  </si>
  <si>
    <t>Income Statement</t>
  </si>
  <si>
    <t>Revenues</t>
  </si>
  <si>
    <t>Growth</t>
  </si>
  <si>
    <t>Food and beverage costs</t>
  </si>
  <si>
    <t>Margin</t>
  </si>
  <si>
    <t>Labor expenses</t>
  </si>
  <si>
    <t>Other operating costs and expenses</t>
  </si>
  <si>
    <t>General and administrative expenses</t>
  </si>
  <si>
    <t>Depreciation and amortization expenses</t>
  </si>
  <si>
    <t>% of Sales</t>
  </si>
  <si>
    <t>Impairment of assets and lease termination expenses</t>
  </si>
  <si>
    <t>Acquisition-related</t>
  </si>
  <si>
    <t>Preopening costs</t>
  </si>
  <si>
    <t>Total costs and expenses</t>
  </si>
  <si>
    <t>Income from operations</t>
  </si>
  <si>
    <t>Interest expense, net</t>
  </si>
  <si>
    <t>Other income, net</t>
  </si>
  <si>
    <t>Income before income taxes</t>
  </si>
  <si>
    <t>Income tax provision/(benefit)</t>
  </si>
  <si>
    <t>Net income</t>
  </si>
  <si>
    <t>Balance Sheet</t>
  </si>
  <si>
    <t>Assets</t>
  </si>
  <si>
    <t>December 31,</t>
  </si>
  <si>
    <t>Liabilities</t>
  </si>
  <si>
    <t>'+ / -</t>
  </si>
  <si>
    <t>2024PF</t>
  </si>
  <si>
    <t>Prior Goodwill</t>
  </si>
  <si>
    <t>ASSETS</t>
  </si>
  <si>
    <t>Net Tangible Assets</t>
  </si>
  <si>
    <t>Current assets:</t>
  </si>
  <si>
    <t>Cash and cash equivalents</t>
  </si>
  <si>
    <t>New Goodwill</t>
  </si>
  <si>
    <t>Accounts and other receivables</t>
  </si>
  <si>
    <t>Income taxes receivable</t>
  </si>
  <si>
    <t>Inventories</t>
  </si>
  <si>
    <t>Prepaid expenses</t>
  </si>
  <si>
    <t>Total current assets</t>
  </si>
  <si>
    <t>Property and equipment, net</t>
  </si>
  <si>
    <t>Other assets:</t>
  </si>
  <si>
    <t>Intangible assets, net</t>
  </si>
  <si>
    <t>Operating lease assets</t>
  </si>
  <si>
    <t>Other</t>
  </si>
  <si>
    <t>Goodwill</t>
  </si>
  <si>
    <t>Unamortized Financing Fees</t>
  </si>
  <si>
    <t>Total other assets</t>
  </si>
  <si>
    <t>Total assets</t>
  </si>
  <si>
    <t>LIABILITIES AND STOCKHOLDERS' EQUITY</t>
  </si>
  <si>
    <t>Current liabilities:</t>
  </si>
  <si>
    <t>Accounts payable</t>
  </si>
  <si>
    <t>Gift card liabilities</t>
  </si>
  <si>
    <t>Operating lease liabilities</t>
  </si>
  <si>
    <t>Other accrued expenses</t>
  </si>
  <si>
    <t>Total current liabilities</t>
  </si>
  <si>
    <t>Long-term debt</t>
  </si>
  <si>
    <t>New Revolver</t>
  </si>
  <si>
    <t>Other noncurrent liabilities</t>
  </si>
  <si>
    <t>Total liabilities</t>
  </si>
  <si>
    <t>Commitments and contingencies (Note 13)</t>
  </si>
  <si>
    <t>Stockholders' equity:</t>
  </si>
  <si>
    <t>Preferred stock, $.01 par value, 5,000,000 shares authorized; none issued and outstanding</t>
  </si>
  <si>
    <t>Common stock, $.01 par value, 250,000,000 shares authorized; 108,387,574 shares issued and 51,332,298 shares outstanding at December 31, 2024 and 107,195,287 shares issued and 50,652,129 shares outstanding at January 2, 2024</t>
  </si>
  <si>
    <t>New Sponsor Equity</t>
  </si>
  <si>
    <t>Additional paid-in capital</t>
  </si>
  <si>
    <t>Retained earnings</t>
  </si>
  <si>
    <t>Treasury stock inclusive of excise tax, 57,055,276 and 56,543,158 shares at cost at December 31, 2024 and January 2, 2024, respectively</t>
  </si>
  <si>
    <t>Accumulated other comprehensive loss</t>
  </si>
  <si>
    <t>Total stockholders' equity</t>
  </si>
  <si>
    <t>Total liabilities and stockholders' equity</t>
  </si>
  <si>
    <t>Financing Fees</t>
  </si>
  <si>
    <t>Memo: CapEx</t>
  </si>
  <si>
    <t>STEP</t>
  </si>
  <si>
    <t>Amortization</t>
  </si>
  <si>
    <t>% of Revenue</t>
  </si>
  <si>
    <t>Goodwill Calc</t>
  </si>
  <si>
    <t>Purchase Price</t>
  </si>
  <si>
    <t>Check</t>
  </si>
  <si>
    <t>Working Capital</t>
  </si>
  <si>
    <t>DSO</t>
  </si>
  <si>
    <t>DIO</t>
  </si>
  <si>
    <t>DPO</t>
  </si>
  <si>
    <t>Current Assets</t>
  </si>
  <si>
    <t>Current Liabilities</t>
  </si>
  <si>
    <t>Change in Working Capital</t>
  </si>
  <si>
    <t>NWC</t>
  </si>
  <si>
    <t>Statement of Cash Flows</t>
  </si>
  <si>
    <t>Net Income</t>
  </si>
  <si>
    <t>Plus: D&amp;A</t>
  </si>
  <si>
    <t>Plus: Amortized Financing Fees</t>
  </si>
  <si>
    <t>Plus: PIK Interest</t>
  </si>
  <si>
    <t>Less: Increase in NWC</t>
  </si>
  <si>
    <t>CFO</t>
  </si>
  <si>
    <t>Capex</t>
  </si>
  <si>
    <t>CFI</t>
  </si>
  <si>
    <t>New Revolver Paydown</t>
  </si>
  <si>
    <t>Bank Debt Paydown</t>
  </si>
  <si>
    <t>Sub Debt Paydown</t>
  </si>
  <si>
    <t>PIK Sub Debt Paydown</t>
  </si>
  <si>
    <t>Total Debt Paydown</t>
  </si>
  <si>
    <t>Beginning Cash</t>
  </si>
  <si>
    <t>Change in Cash</t>
  </si>
  <si>
    <t>Ending Cash</t>
  </si>
  <si>
    <t>Cash Available for debt Paydown</t>
  </si>
  <si>
    <t>Debt Schedule</t>
  </si>
  <si>
    <t>FCF Available for Debt Paydown</t>
  </si>
  <si>
    <t>Min cash</t>
  </si>
  <si>
    <t>Total FCF Available for Debt Paydown</t>
  </si>
  <si>
    <t>Revolver:</t>
  </si>
  <si>
    <t>Beginning</t>
  </si>
  <si>
    <t>Paydown</t>
  </si>
  <si>
    <t>Ending</t>
  </si>
  <si>
    <t>Cash Interest Expense</t>
  </si>
  <si>
    <t>1=Paydown</t>
  </si>
  <si>
    <t>Cash Available after Revolver</t>
  </si>
  <si>
    <t>Bank Debt:</t>
  </si>
  <si>
    <t>Cash Available after Bank Debt</t>
  </si>
  <si>
    <t>PIK Interest</t>
  </si>
  <si>
    <t>Cash:</t>
  </si>
  <si>
    <t>Change In Cash</t>
  </si>
  <si>
    <t>Total Debt</t>
  </si>
  <si>
    <t>Total Interest Expense</t>
  </si>
  <si>
    <t>Net Debt</t>
  </si>
  <si>
    <t>Net Interest Expense</t>
  </si>
  <si>
    <t>Credit Stats:</t>
  </si>
  <si>
    <t>Total Debt/EBITDA</t>
  </si>
  <si>
    <t>EBITDA / Total Cash Interest Expense</t>
  </si>
  <si>
    <t>Net debt/ EBITDA</t>
  </si>
  <si>
    <t>EBITDA / Net Cash Interest Expense</t>
  </si>
  <si>
    <t>Memo: EBITDA</t>
  </si>
  <si>
    <t>LBO Returns Analysis</t>
  </si>
  <si>
    <t>EBITDA</t>
  </si>
  <si>
    <t>Exit Multiple</t>
  </si>
  <si>
    <t>TEV at Exit</t>
  </si>
  <si>
    <t>Less: Net Debt</t>
  </si>
  <si>
    <t>Management Option</t>
  </si>
  <si>
    <t>Management Options</t>
  </si>
  <si>
    <t>Sponsor Equity at Exit</t>
  </si>
  <si>
    <t>Sponsor Equity at Closing</t>
  </si>
  <si>
    <t>Sponsor Investment</t>
  </si>
  <si>
    <t>IRR</t>
  </si>
  <si>
    <t>MOIC</t>
  </si>
  <si>
    <t>Current Share Price</t>
  </si>
  <si>
    <t>Takeout Premium</t>
  </si>
  <si>
    <t>Taekout Price</t>
  </si>
  <si>
    <t>Basic Shares</t>
  </si>
  <si>
    <t>Securities</t>
  </si>
  <si>
    <t>Option</t>
  </si>
  <si>
    <t>WAEP</t>
  </si>
  <si>
    <t>In / Out</t>
  </si>
  <si>
    <t>Proceeds</t>
  </si>
  <si>
    <t>Options</t>
  </si>
  <si>
    <t>RSUs</t>
  </si>
  <si>
    <t>Convertibles</t>
  </si>
  <si>
    <t>Total</t>
  </si>
  <si>
    <t>Shares Repod</t>
  </si>
  <si>
    <t>Shares Issued</t>
  </si>
  <si>
    <t>Convertible</t>
  </si>
  <si>
    <t>Principal</t>
  </si>
  <si>
    <t>Conversion rate</t>
  </si>
  <si>
    <t>Conversion Price</t>
  </si>
  <si>
    <t>Par</t>
  </si>
  <si>
    <t>Notes</t>
  </si>
  <si>
    <t># Shares</t>
  </si>
  <si>
    <t>June 2026 Notes</t>
  </si>
  <si>
    <t>Circularity</t>
  </si>
  <si>
    <t>Sesnsitivities</t>
  </si>
  <si>
    <t>Takeout-Premium</t>
  </si>
  <si>
    <t>Take-Private LBO</t>
  </si>
  <si>
    <t>Ticker: CAKE</t>
  </si>
  <si>
    <t>TSM Build</t>
  </si>
  <si>
    <t>Current Interest Rate</t>
  </si>
  <si>
    <t xml:space="preserve">Exit </t>
  </si>
  <si>
    <t>Multiple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</si>
</sst>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\x"/>
    <numFmt numFmtId="165" formatCode="_(* #,##0_);_(* \(#,##0\);_(* &quot;-&quot;??_);_(@_)"/>
    <numFmt numFmtId="166" formatCode="0.0%"/>
    <numFmt numFmtId="167" formatCode="_(#,##0_);_(\(#,##0\);_(&quot;-&quot;_);_(@_)"/>
    <numFmt numFmtId="168" formatCode="_(\$* #,##0_);_(\$* \(#,##0\);_(\$* &quot;-&quot;_);_(@_)"/>
    <numFmt numFmtId="169" formatCode="_(0_);_(\(0\);_(&quot;-&quot;_);@_)"/>
    <numFmt numFmtId="170" formatCode="0&quot;E&quot;"/>
    <numFmt numFmtId="171" formatCode="0&quot;A&quot;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i/>
      <sz val="11"/>
      <color rgb="FF0066FF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66FF"/>
      <name val="Arial"/>
      <family val="2"/>
    </font>
    <font>
      <b/>
      <sz val="11"/>
      <color theme="1"/>
      <name val="Aptos Narrow"/>
      <family val="2"/>
      <scheme val="minor"/>
    </font>
    <font>
      <sz val="11"/>
      <color rgb="FF0066FF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0" tint="-4.9989318521683403E-2"/>
      <name val="Arial"/>
      <family val="2"/>
    </font>
    <font>
      <b/>
      <sz val="11"/>
      <color theme="0"/>
      <name val="Aptos Narrow"/>
      <family val="2"/>
      <scheme val="minor"/>
    </font>
    <font>
      <sz val="11"/>
      <color rgb="FFBDFAEF"/>
      <name val="Arial"/>
      <family val="2"/>
    </font>
    <font>
      <i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ABBFC"/>
        <bgColor indexed="64"/>
      </patternFill>
    </fill>
    <fill>
      <patternFill patternType="solid">
        <fgColor rgb="FFBDFAEF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9" fontId="4" fillId="0" borderId="0" xfId="0" applyNumberFormat="1" applyFont="1" applyAlignment="1">
      <alignment horizontal="right"/>
    </xf>
    <xf numFmtId="168" fontId="4" fillId="0" borderId="0" xfId="0" applyNumberFormat="1" applyFont="1"/>
    <xf numFmtId="165" fontId="2" fillId="0" borderId="0" xfId="0" applyNumberFormat="1" applyFont="1"/>
    <xf numFmtId="0" fontId="5" fillId="0" borderId="0" xfId="0" applyFont="1" applyAlignment="1">
      <alignment horizontal="left" indent="1"/>
    </xf>
    <xf numFmtId="9" fontId="6" fillId="0" borderId="0" xfId="2" applyFont="1"/>
    <xf numFmtId="9" fontId="7" fillId="2" borderId="0" xfId="0" applyNumberFormat="1" applyFont="1" applyFill="1"/>
    <xf numFmtId="167" fontId="4" fillId="0" borderId="0" xfId="0" applyNumberFormat="1" applyFont="1"/>
    <xf numFmtId="168" fontId="2" fillId="0" borderId="0" xfId="0" applyNumberFormat="1" applyFont="1"/>
    <xf numFmtId="167" fontId="2" fillId="0" borderId="0" xfId="0" applyNumberFormat="1" applyFont="1"/>
    <xf numFmtId="0" fontId="2" fillId="0" borderId="1" xfId="0" applyFont="1" applyBorder="1" applyAlignment="1">
      <alignment horizontal="left"/>
    </xf>
    <xf numFmtId="167" fontId="4" fillId="0" borderId="1" xfId="0" applyNumberFormat="1" applyFont="1" applyBorder="1"/>
    <xf numFmtId="165" fontId="2" fillId="0" borderId="1" xfId="0" applyNumberFormat="1" applyFont="1" applyBorder="1"/>
    <xf numFmtId="0" fontId="8" fillId="0" borderId="1" xfId="0" applyFont="1" applyBorder="1" applyAlignment="1">
      <alignment horizontal="left"/>
    </xf>
    <xf numFmtId="167" fontId="3" fillId="0" borderId="1" xfId="0" applyNumberFormat="1" applyFont="1" applyBorder="1"/>
    <xf numFmtId="165" fontId="8" fillId="0" borderId="1" xfId="0" applyNumberFormat="1" applyFont="1" applyBorder="1"/>
    <xf numFmtId="168" fontId="3" fillId="0" borderId="1" xfId="0" applyNumberFormat="1" applyFont="1" applyBorder="1"/>
    <xf numFmtId="169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164" fontId="2" fillId="0" borderId="0" xfId="0" applyNumberFormat="1" applyFont="1"/>
    <xf numFmtId="165" fontId="2" fillId="0" borderId="0" xfId="1" applyNumberFormat="1" applyFont="1" applyFill="1" applyBorder="1"/>
    <xf numFmtId="10" fontId="2" fillId="0" borderId="0" xfId="0" applyNumberFormat="1" applyFont="1"/>
    <xf numFmtId="10" fontId="10" fillId="2" borderId="0" xfId="0" applyNumberFormat="1" applyFont="1" applyFill="1"/>
    <xf numFmtId="164" fontId="10" fillId="2" borderId="0" xfId="0" applyNumberFormat="1" applyFont="1" applyFill="1"/>
    <xf numFmtId="166" fontId="10" fillId="2" borderId="0" xfId="2" applyNumberFormat="1" applyFont="1" applyFill="1" applyBorder="1"/>
    <xf numFmtId="9" fontId="2" fillId="0" borderId="0" xfId="0" applyNumberFormat="1" applyFont="1"/>
    <xf numFmtId="43" fontId="2" fillId="0" borderId="0" xfId="0" applyNumberFormat="1" applyFont="1"/>
    <xf numFmtId="0" fontId="10" fillId="2" borderId="0" xfId="0" applyFont="1" applyFill="1"/>
    <xf numFmtId="165" fontId="8" fillId="0" borderId="0" xfId="1" applyNumberFormat="1" applyFont="1" applyFill="1" applyBorder="1"/>
    <xf numFmtId="9" fontId="10" fillId="2" borderId="0" xfId="0" applyNumberFormat="1" applyFont="1" applyFill="1"/>
    <xf numFmtId="43" fontId="2" fillId="0" borderId="0" xfId="1" applyFont="1" applyFill="1" applyBorder="1"/>
    <xf numFmtId="0" fontId="8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2" fillId="0" borderId="2" xfId="0" applyFont="1" applyBorder="1"/>
    <xf numFmtId="165" fontId="2" fillId="0" borderId="2" xfId="0" applyNumberFormat="1" applyFont="1" applyBorder="1"/>
    <xf numFmtId="167" fontId="2" fillId="0" borderId="2" xfId="0" applyNumberFormat="1" applyFont="1" applyBorder="1"/>
    <xf numFmtId="166" fontId="7" fillId="2" borderId="0" xfId="0" applyNumberFormat="1" applyFont="1" applyFill="1"/>
    <xf numFmtId="10" fontId="7" fillId="2" borderId="0" xfId="0" applyNumberFormat="1" applyFont="1" applyFill="1"/>
    <xf numFmtId="9" fontId="2" fillId="0" borderId="0" xfId="2" applyFont="1"/>
    <xf numFmtId="166" fontId="2" fillId="0" borderId="0" xfId="2" applyNumberFormat="1" applyFont="1"/>
    <xf numFmtId="166" fontId="2" fillId="0" borderId="0" xfId="0" applyNumberFormat="1" applyFont="1"/>
    <xf numFmtId="43" fontId="7" fillId="2" borderId="0" xfId="1" applyFont="1" applyFill="1"/>
    <xf numFmtId="165" fontId="2" fillId="0" borderId="0" xfId="1" applyNumberFormat="1" applyFont="1"/>
    <xf numFmtId="165" fontId="2" fillId="3" borderId="0" xfId="0" applyNumberFormat="1" applyFont="1" applyFill="1"/>
    <xf numFmtId="43" fontId="2" fillId="3" borderId="0" xfId="0" applyNumberFormat="1" applyFont="1" applyFill="1"/>
    <xf numFmtId="167" fontId="2" fillId="3" borderId="0" xfId="0" applyNumberFormat="1" applyFont="1" applyFill="1"/>
    <xf numFmtId="167" fontId="2" fillId="0" borderId="1" xfId="0" applyNumberFormat="1" applyFont="1" applyBorder="1"/>
    <xf numFmtId="167" fontId="8" fillId="0" borderId="1" xfId="0" applyNumberFormat="1" applyFont="1" applyBorder="1"/>
    <xf numFmtId="168" fontId="2" fillId="3" borderId="0" xfId="0" applyNumberFormat="1" applyFont="1" applyFill="1"/>
    <xf numFmtId="43" fontId="2" fillId="0" borderId="1" xfId="1" applyFont="1" applyBorder="1"/>
    <xf numFmtId="165" fontId="4" fillId="0" borderId="0" xfId="1" applyNumberFormat="1" applyFont="1"/>
    <xf numFmtId="165" fontId="4" fillId="0" borderId="0" xfId="1" applyNumberFormat="1" applyFont="1" applyFill="1"/>
    <xf numFmtId="165" fontId="2" fillId="0" borderId="0" xfId="1" applyNumberFormat="1" applyFont="1" applyFill="1"/>
    <xf numFmtId="0" fontId="12" fillId="2" borderId="0" xfId="0" applyFont="1" applyFill="1"/>
    <xf numFmtId="43" fontId="0" fillId="0" borderId="0" xfId="0" applyNumberFormat="1"/>
    <xf numFmtId="0" fontId="0" fillId="0" borderId="1" xfId="0" applyBorder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165" fontId="0" fillId="0" borderId="0" xfId="1" applyNumberFormat="1" applyFont="1"/>
    <xf numFmtId="165" fontId="0" fillId="0" borderId="0" xfId="0" applyNumberFormat="1"/>
    <xf numFmtId="0" fontId="8" fillId="0" borderId="9" xfId="0" applyFont="1" applyBorder="1"/>
    <xf numFmtId="166" fontId="2" fillId="0" borderId="9" xfId="0" applyNumberFormat="1" applyFont="1" applyBorder="1"/>
    <xf numFmtId="0" fontId="2" fillId="0" borderId="9" xfId="0" applyFont="1" applyBorder="1"/>
    <xf numFmtId="10" fontId="2" fillId="0" borderId="9" xfId="0" applyNumberFormat="1" applyFont="1" applyBorder="1"/>
    <xf numFmtId="164" fontId="8" fillId="0" borderId="0" xfId="0" applyNumberFormat="1" applyFont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7" xfId="0" applyNumberFormat="1" applyFont="1" applyBorder="1"/>
    <xf numFmtId="164" fontId="8" fillId="0" borderId="3" xfId="0" applyNumberFormat="1" applyFont="1" applyBorder="1"/>
    <xf numFmtId="164" fontId="8" fillId="0" borderId="6" xfId="0" applyNumberFormat="1" applyFont="1" applyBorder="1"/>
    <xf numFmtId="9" fontId="2" fillId="0" borderId="7" xfId="2" applyFont="1" applyBorder="1"/>
    <xf numFmtId="9" fontId="2" fillId="0" borderId="8" xfId="2" applyFont="1" applyBorder="1"/>
    <xf numFmtId="9" fontId="2" fillId="0" borderId="0" xfId="2" applyFont="1" applyBorder="1"/>
    <xf numFmtId="9" fontId="2" fillId="3" borderId="0" xfId="2" applyFont="1" applyFill="1" applyBorder="1"/>
    <xf numFmtId="164" fontId="2" fillId="3" borderId="0" xfId="0" applyNumberFormat="1" applyFont="1" applyFill="1"/>
    <xf numFmtId="0" fontId="5" fillId="0" borderId="0" xfId="0" applyFont="1"/>
    <xf numFmtId="0" fontId="9" fillId="4" borderId="0" xfId="0" applyFont="1" applyFill="1"/>
    <xf numFmtId="0" fontId="2" fillId="5" borderId="0" xfId="0" applyFont="1" applyFill="1" applyAlignment="1">
      <alignment horizontal="left"/>
    </xf>
    <xf numFmtId="171" fontId="3" fillId="5" borderId="0" xfId="0" applyNumberFormat="1" applyFont="1" applyFill="1" applyAlignment="1">
      <alignment horizontal="right"/>
    </xf>
    <xf numFmtId="170" fontId="3" fillId="5" borderId="0" xfId="0" applyNumberFormat="1" applyFont="1" applyFill="1" applyAlignment="1">
      <alignment horizontal="right"/>
    </xf>
    <xf numFmtId="169" fontId="3" fillId="5" borderId="0" xfId="0" applyNumberFormat="1" applyFont="1" applyFill="1" applyAlignment="1">
      <alignment horizontal="right"/>
    </xf>
    <xf numFmtId="169" fontId="3" fillId="5" borderId="0" xfId="0" quotePrefix="1" applyNumberFormat="1" applyFont="1" applyFill="1" applyAlignment="1">
      <alignment horizontal="right"/>
    </xf>
    <xf numFmtId="0" fontId="2" fillId="5" borderId="0" xfId="0" applyFont="1" applyFill="1"/>
    <xf numFmtId="9" fontId="2" fillId="5" borderId="9" xfId="0" applyNumberFormat="1" applyFont="1" applyFill="1" applyBorder="1"/>
    <xf numFmtId="164" fontId="2" fillId="5" borderId="13" xfId="0" applyNumberFormat="1" applyFont="1" applyFill="1" applyBorder="1"/>
    <xf numFmtId="164" fontId="17" fillId="5" borderId="0" xfId="0" applyNumberFormat="1" applyFont="1" applyFill="1"/>
    <xf numFmtId="0" fontId="16" fillId="4" borderId="9" xfId="0" applyFont="1" applyFill="1" applyBorder="1"/>
    <xf numFmtId="9" fontId="12" fillId="0" borderId="0" xfId="2" applyFont="1" applyFill="1"/>
    <xf numFmtId="0" fontId="11" fillId="0" borderId="0" xfId="0" applyFont="1"/>
    <xf numFmtId="0" fontId="18" fillId="0" borderId="0" xfId="0" applyFont="1"/>
    <xf numFmtId="0" fontId="9" fillId="6" borderId="0" xfId="0" applyFont="1" applyFill="1"/>
    <xf numFmtId="0" fontId="2" fillId="6" borderId="0" xfId="0" applyFont="1" applyFill="1"/>
    <xf numFmtId="0" fontId="9" fillId="6" borderId="0" xfId="0" applyFont="1" applyFill="1" applyAlignment="1">
      <alignment horizontal="center"/>
    </xf>
    <xf numFmtId="9" fontId="4" fillId="0" borderId="0" xfId="2" applyFont="1"/>
    <xf numFmtId="0" fontId="15" fillId="6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ABBFC"/>
      <color rgb="FFFFFFCC"/>
      <color rgb="FFBDFA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78592</xdr:colOff>
      <xdr:row>0</xdr:row>
      <xdr:rowOff>0</xdr:rowOff>
    </xdr:from>
    <xdr:to>
      <xdr:col>10</xdr:col>
      <xdr:colOff>713546</xdr:colOff>
      <xdr:row>4</xdr:row>
      <xdr:rowOff>142802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B33AAB-54FA-31F2-D349-9B3AA250E2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7" t="23624" r="12520" b="24356"/>
        <a:stretch/>
      </xdr:blipFill>
      <xdr:spPr bwMode="auto">
        <a:xfrm>
          <a:off x="7738782" y="0"/>
          <a:ext cx="2181421" cy="855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239678</xdr:colOff>
      <xdr:row>1</xdr:row>
      <xdr:rowOff>45589</xdr:rowOff>
    </xdr:from>
    <xdr:ext cx="1633864" cy="646778"/>
    <xdr:pic>
      <xdr:nvPicPr>
        <xdr:cNvPr id="2" name="Picture 1">
          <a:extLst>
            <a:ext uri="{FF2B5EF4-FFF2-40B4-BE49-F238E27FC236}">
              <a16:creationId xmlns:a16="http://schemas.microsoft.com/office/drawing/2014/main" id="{36BB4499-ED82-4FEA-A141-38B94407F0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7" t="23624" r="12520" b="24356"/>
        <a:stretch/>
      </xdr:blipFill>
      <xdr:spPr bwMode="auto">
        <a:xfrm>
          <a:off x="2665378" y="229739"/>
          <a:ext cx="1633864" cy="646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2FB09-8108-41E9-ADD7-82760F68BDC7}">
  <dimension ref="A2:S288"/>
  <sheetViews>
    <sheetView showGridLines="0" tabSelected="1" zoomScale="65" zoomScaleNormal="85" workbookViewId="0"/>
  </sheetViews>
  <sheetFormatPr defaultColWidth="9.140625" defaultRowHeight="14.25" x14ac:dyDescent="0.2"/>
  <cols>
    <col min="1" max="1" width="2.7109375" style="1" bestFit="1" customWidth="1"/>
    <col min="2" max="2" width="33.7109375" style="1" customWidth="1"/>
    <col min="3" max="3" width="11.140625" style="1" customWidth="1"/>
    <col min="4" max="4" width="17.28515625" style="1" bestFit="1" customWidth="1"/>
    <col min="5" max="5" width="9.28515625" style="1" bestFit="1" customWidth="1"/>
    <col min="6" max="6" width="10.5703125" style="1" bestFit="1" customWidth="1"/>
    <col min="7" max="7" width="15.42578125" style="1" customWidth="1"/>
    <col min="8" max="11" width="11" style="1" bestFit="1" customWidth="1"/>
    <col min="12" max="13" width="9.140625" style="1"/>
    <col min="14" max="14" width="12" style="1" bestFit="1" customWidth="1"/>
    <col min="15" max="15" width="10.5703125" style="1" bestFit="1" customWidth="1"/>
    <col min="16" max="19" width="10.42578125" style="1" bestFit="1" customWidth="1"/>
    <col min="20" max="16384" width="9.140625" style="1"/>
  </cols>
  <sheetData>
    <row r="2" spans="1:13" ht="15" x14ac:dyDescent="0.25">
      <c r="B2" s="22" t="s">
        <v>197</v>
      </c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5" x14ac:dyDescent="0.25">
      <c r="B3" s="81" t="s">
        <v>198</v>
      </c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15" x14ac:dyDescent="0.25"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15" x14ac:dyDescent="0.25"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ht="15" x14ac:dyDescent="0.25">
      <c r="A6" s="1" t="s">
        <v>0</v>
      </c>
      <c r="B6" s="96" t="s">
        <v>1</v>
      </c>
      <c r="C6" s="96"/>
      <c r="D6" s="96"/>
      <c r="E6" s="96"/>
      <c r="F6" s="96"/>
      <c r="G6" s="96"/>
      <c r="H6" s="96"/>
      <c r="I6" s="96"/>
      <c r="J6" s="96"/>
      <c r="K6" s="96"/>
    </row>
    <row r="7" spans="1:13" ht="15" x14ac:dyDescent="0.25">
      <c r="G7" s="22"/>
      <c r="H7" s="22"/>
      <c r="I7" s="22"/>
      <c r="J7" s="22"/>
      <c r="K7" s="22"/>
    </row>
    <row r="8" spans="1:13" x14ac:dyDescent="0.2">
      <c r="H8" s="23"/>
      <c r="I8" s="24"/>
      <c r="J8" s="25"/>
    </row>
    <row r="9" spans="1:13" ht="15" x14ac:dyDescent="0.25">
      <c r="B9" s="82" t="s">
        <v>1</v>
      </c>
      <c r="C9" s="82"/>
      <c r="D9" s="82"/>
      <c r="G9" s="82" t="s">
        <v>2</v>
      </c>
      <c r="H9" s="82" t="s">
        <v>3</v>
      </c>
      <c r="I9" s="82" t="s">
        <v>4</v>
      </c>
      <c r="J9" s="25"/>
    </row>
    <row r="10" spans="1:13" x14ac:dyDescent="0.2">
      <c r="B10" s="1" t="s">
        <v>5</v>
      </c>
      <c r="D10" s="26">
        <v>1.4999999999999999E-2</v>
      </c>
      <c r="E10" s="24"/>
      <c r="G10" s="1" t="s">
        <v>6</v>
      </c>
      <c r="H10" s="27">
        <v>0</v>
      </c>
      <c r="I10" s="28">
        <v>9.5000000000000001E-2</v>
      </c>
      <c r="J10" s="29"/>
    </row>
    <row r="11" spans="1:13" x14ac:dyDescent="0.2">
      <c r="B11" s="1" t="s">
        <v>7</v>
      </c>
      <c r="D11" s="30">
        <f>D10*H22</f>
        <v>55.152378833734168</v>
      </c>
      <c r="E11" s="24"/>
      <c r="G11" s="1" t="s">
        <v>8</v>
      </c>
      <c r="H11" s="27">
        <v>3</v>
      </c>
      <c r="I11" s="28">
        <v>0.1</v>
      </c>
      <c r="J11" s="29"/>
    </row>
    <row r="12" spans="1:13" ht="15" x14ac:dyDescent="0.25">
      <c r="B12" s="1" t="s">
        <v>9</v>
      </c>
      <c r="D12" s="31">
        <v>50</v>
      </c>
      <c r="E12" s="32"/>
      <c r="G12" s="1" t="s">
        <v>10</v>
      </c>
      <c r="H12" s="27">
        <v>1.5</v>
      </c>
      <c r="I12" s="28">
        <v>0.1</v>
      </c>
    </row>
    <row r="13" spans="1:13" x14ac:dyDescent="0.2">
      <c r="B13" s="1" t="s">
        <v>11</v>
      </c>
      <c r="D13" s="33">
        <v>0.25</v>
      </c>
      <c r="G13" s="1" t="s">
        <v>12</v>
      </c>
      <c r="H13" s="27">
        <v>1</v>
      </c>
      <c r="I13" s="28">
        <v>0.1</v>
      </c>
    </row>
    <row r="14" spans="1:13" x14ac:dyDescent="0.2">
      <c r="B14" s="1" t="s">
        <v>102</v>
      </c>
      <c r="D14" s="31">
        <v>7</v>
      </c>
    </row>
    <row r="15" spans="1:13" x14ac:dyDescent="0.2">
      <c r="B15" s="1" t="s">
        <v>164</v>
      </c>
      <c r="D15" s="33">
        <v>0.1</v>
      </c>
    </row>
    <row r="16" spans="1:13" x14ac:dyDescent="0.2">
      <c r="B16" s="1" t="s">
        <v>161</v>
      </c>
      <c r="D16" s="27">
        <v>11</v>
      </c>
    </row>
    <row r="17" spans="2:9" ht="15" x14ac:dyDescent="0.25">
      <c r="G17" s="82" t="s">
        <v>13</v>
      </c>
      <c r="H17" s="82"/>
    </row>
    <row r="18" spans="2:9" x14ac:dyDescent="0.2">
      <c r="B18" s="1" t="s">
        <v>194</v>
      </c>
      <c r="D18" s="31">
        <v>1</v>
      </c>
      <c r="G18" s="1" t="s">
        <v>14</v>
      </c>
      <c r="H18" s="34">
        <f>TSM!C9</f>
        <v>55.427999999999997</v>
      </c>
    </row>
    <row r="19" spans="2:9" x14ac:dyDescent="0.2">
      <c r="G19" s="1" t="s">
        <v>15</v>
      </c>
      <c r="H19" s="34">
        <f>TSM!F23</f>
        <v>59.697973146826115</v>
      </c>
    </row>
    <row r="20" spans="2:9" x14ac:dyDescent="0.2">
      <c r="B20" s="1" t="s">
        <v>172</v>
      </c>
      <c r="D20" s="33">
        <v>0.2</v>
      </c>
      <c r="G20" s="1" t="s">
        <v>16</v>
      </c>
      <c r="H20" s="24">
        <f>H19*H18</f>
        <v>3308.9392555822778</v>
      </c>
    </row>
    <row r="21" spans="2:9" x14ac:dyDescent="0.2">
      <c r="G21" s="1" t="s">
        <v>17</v>
      </c>
      <c r="H21" s="11">
        <f>(-D88+D115)</f>
        <v>367.88600000000002</v>
      </c>
    </row>
    <row r="22" spans="2:9" ht="15" x14ac:dyDescent="0.25">
      <c r="G22" s="35" t="s">
        <v>18</v>
      </c>
      <c r="H22" s="17">
        <f>SUM(H20:H21)</f>
        <v>3676.8252555822778</v>
      </c>
    </row>
    <row r="23" spans="2:9" x14ac:dyDescent="0.2">
      <c r="G23" s="1" t="s">
        <v>19</v>
      </c>
      <c r="H23" s="23">
        <f>H22/H24</f>
        <v>11.371460377630466</v>
      </c>
    </row>
    <row r="24" spans="2:9" x14ac:dyDescent="0.2">
      <c r="G24" s="1" t="s">
        <v>20</v>
      </c>
      <c r="H24" s="10">
        <f>F40-F43-F46-F49-F52</f>
        <v>323.33799999999985</v>
      </c>
    </row>
    <row r="27" spans="2:9" ht="15" x14ac:dyDescent="0.25">
      <c r="B27" s="82" t="s">
        <v>21</v>
      </c>
      <c r="C27" s="82" t="s">
        <v>22</v>
      </c>
      <c r="D27" s="82" t="s">
        <v>3</v>
      </c>
      <c r="G27" s="82" t="s">
        <v>23</v>
      </c>
      <c r="H27" s="82" t="s">
        <v>22</v>
      </c>
      <c r="I27" s="82" t="s">
        <v>3</v>
      </c>
    </row>
    <row r="28" spans="2:9" x14ac:dyDescent="0.2">
      <c r="B28" s="1" t="s">
        <v>8</v>
      </c>
      <c r="C28" s="24">
        <f>H11*$H$24</f>
        <v>970.01399999999956</v>
      </c>
      <c r="D28" s="23">
        <f t="shared" ref="D28:D33" si="0">C28/$H$24</f>
        <v>3</v>
      </c>
      <c r="G28" s="1" t="s">
        <v>24</v>
      </c>
      <c r="H28" s="5">
        <f>H20</f>
        <v>3308.9392555822778</v>
      </c>
      <c r="I28" s="23">
        <f>H28/$H$24</f>
        <v>10.23368504655277</v>
      </c>
    </row>
    <row r="29" spans="2:9" x14ac:dyDescent="0.2">
      <c r="B29" s="1" t="s">
        <v>10</v>
      </c>
      <c r="C29" s="24">
        <f>H12*$H$24</f>
        <v>485.00699999999978</v>
      </c>
      <c r="D29" s="23">
        <f t="shared" si="0"/>
        <v>1.5</v>
      </c>
      <c r="G29" s="1" t="s">
        <v>25</v>
      </c>
      <c r="H29" s="11">
        <f>D115</f>
        <v>452.06200000000001</v>
      </c>
      <c r="I29" s="23">
        <f>H29/$H$24</f>
        <v>1.3981097180040707</v>
      </c>
    </row>
    <row r="30" spans="2:9" x14ac:dyDescent="0.2">
      <c r="B30" s="1" t="s">
        <v>12</v>
      </c>
      <c r="C30" s="24">
        <f>H13*$H$24</f>
        <v>323.33799999999985</v>
      </c>
      <c r="D30" s="23">
        <f t="shared" si="0"/>
        <v>1</v>
      </c>
      <c r="G30" s="1" t="s">
        <v>26</v>
      </c>
      <c r="H30" s="30">
        <f>D11</f>
        <v>55.152378833734168</v>
      </c>
      <c r="I30" s="23">
        <f>H30/$H$24</f>
        <v>0.17057190566445699</v>
      </c>
    </row>
    <row r="31" spans="2:9" x14ac:dyDescent="0.2">
      <c r="B31" s="1" t="s">
        <v>27</v>
      </c>
      <c r="C31" s="24">
        <f>D88-D12</f>
        <v>34.176000000000002</v>
      </c>
      <c r="D31" s="23">
        <f t="shared" si="0"/>
        <v>0.10569744354205203</v>
      </c>
      <c r="I31" s="23"/>
    </row>
    <row r="32" spans="2:9" x14ac:dyDescent="0.2">
      <c r="B32" s="1" t="s">
        <v>28</v>
      </c>
      <c r="C32" s="5">
        <f>C33-SUM(C28:C31)</f>
        <v>2003.6186344160128</v>
      </c>
      <c r="D32" s="23">
        <f t="shared" si="0"/>
        <v>6.1966692266792451</v>
      </c>
      <c r="I32" s="23"/>
    </row>
    <row r="33" spans="1:13" x14ac:dyDescent="0.2">
      <c r="B33" s="36" t="s">
        <v>29</v>
      </c>
      <c r="C33" s="14">
        <f>H33</f>
        <v>3816.1536344160118</v>
      </c>
      <c r="D33" s="37">
        <f t="shared" si="0"/>
        <v>11.802366670221296</v>
      </c>
      <c r="G33" s="36" t="s">
        <v>30</v>
      </c>
      <c r="H33" s="14">
        <f>SUM(H28:H32)</f>
        <v>3816.1536344160118</v>
      </c>
      <c r="I33" s="37">
        <f>H33/$H$24</f>
        <v>11.802366670221296</v>
      </c>
    </row>
    <row r="36" spans="1:13" ht="15" x14ac:dyDescent="0.25">
      <c r="A36" s="1" t="s">
        <v>0</v>
      </c>
      <c r="B36" s="96" t="s">
        <v>31</v>
      </c>
      <c r="C36" s="96"/>
      <c r="D36" s="96"/>
      <c r="E36" s="96"/>
      <c r="F36" s="96"/>
      <c r="G36" s="96"/>
      <c r="H36" s="96"/>
      <c r="I36" s="96"/>
      <c r="J36" s="96"/>
      <c r="K36" s="96"/>
    </row>
    <row r="38" spans="1:13" ht="15" x14ac:dyDescent="0.25">
      <c r="B38" s="83"/>
      <c r="C38" s="83"/>
      <c r="D38" s="84">
        <v>2022</v>
      </c>
      <c r="E38" s="84">
        <v>2023</v>
      </c>
      <c r="F38" s="84">
        <v>2024</v>
      </c>
      <c r="G38" s="85">
        <f>F38+1</f>
        <v>2025</v>
      </c>
      <c r="H38" s="85">
        <f>G38+1</f>
        <v>2026</v>
      </c>
      <c r="I38" s="85">
        <f>H38+1</f>
        <v>2027</v>
      </c>
      <c r="J38" s="85">
        <f>I38+1</f>
        <v>2028</v>
      </c>
      <c r="K38" s="85">
        <f>J38+1</f>
        <v>2029</v>
      </c>
      <c r="M38" s="85" t="s">
        <v>101</v>
      </c>
    </row>
    <row r="39" spans="1:13" x14ac:dyDescent="0.2">
      <c r="B39" s="2"/>
      <c r="C39" s="2"/>
      <c r="D39" s="3"/>
      <c r="E39" s="3"/>
      <c r="F39" s="3"/>
    </row>
    <row r="40" spans="1:13" x14ac:dyDescent="0.2">
      <c r="B40" s="2" t="s">
        <v>32</v>
      </c>
      <c r="C40" s="2"/>
      <c r="D40" s="4">
        <v>3303.1559999999999</v>
      </c>
      <c r="E40" s="4">
        <v>3439.5030000000002</v>
      </c>
      <c r="F40" s="4">
        <v>3581.6990000000001</v>
      </c>
      <c r="G40" s="5">
        <f>F40*(1+G41)</f>
        <v>3729.7736698008407</v>
      </c>
      <c r="H40" s="5">
        <f>G40*(1+H41)</f>
        <v>3883.9700454838976</v>
      </c>
      <c r="I40" s="5">
        <f>H40*(1+I41)</f>
        <v>4044.5412107329548</v>
      </c>
      <c r="J40" s="5">
        <f>I40*(1+J41)</f>
        <v>4211.7507122223806</v>
      </c>
      <c r="K40" s="5">
        <f>J40*(1+K41)</f>
        <v>4385.8729921782851</v>
      </c>
    </row>
    <row r="41" spans="1:13" x14ac:dyDescent="0.2">
      <c r="B41" s="6" t="s">
        <v>33</v>
      </c>
      <c r="C41" s="2"/>
      <c r="D41" s="4"/>
      <c r="E41" s="7">
        <f>E40/D40-1</f>
        <v>4.127779614405136E-2</v>
      </c>
      <c r="F41" s="7">
        <f>F40/E40-1</f>
        <v>4.1342019471999336E-2</v>
      </c>
      <c r="G41" s="8">
        <f>F41+$M41</f>
        <v>4.1342019471999336E-2</v>
      </c>
      <c r="H41" s="8">
        <f>G41+$M41</f>
        <v>4.1342019471999336E-2</v>
      </c>
      <c r="I41" s="8">
        <f>H41+$M41</f>
        <v>4.1342019471999336E-2</v>
      </c>
      <c r="J41" s="8">
        <f>I41+$M41</f>
        <v>4.1342019471999336E-2</v>
      </c>
      <c r="K41" s="8">
        <f>J41+$M41</f>
        <v>4.1342019471999336E-2</v>
      </c>
      <c r="M41" s="42">
        <v>0</v>
      </c>
    </row>
    <row r="42" spans="1:13" x14ac:dyDescent="0.2">
      <c r="B42" s="6"/>
      <c r="C42" s="2"/>
      <c r="D42" s="4"/>
      <c r="E42" s="4"/>
      <c r="F42" s="4"/>
    </row>
    <row r="43" spans="1:13" x14ac:dyDescent="0.2">
      <c r="B43" s="2" t="s">
        <v>34</v>
      </c>
      <c r="C43" s="2"/>
      <c r="D43" s="9">
        <v>810.92600000000004</v>
      </c>
      <c r="E43" s="9">
        <v>803.5</v>
      </c>
      <c r="F43" s="9">
        <v>806.02099999999996</v>
      </c>
      <c r="G43" s="5">
        <f>G44*G$40</f>
        <v>839.34353587684041</v>
      </c>
      <c r="H43" s="5">
        <f>H44*H$40</f>
        <v>874.04369268075754</v>
      </c>
      <c r="I43" s="5">
        <f>I44*I$40</f>
        <v>910.17842404294356</v>
      </c>
      <c r="J43" s="5">
        <f>J44*J$40</f>
        <v>947.80703817272058</v>
      </c>
      <c r="K43" s="5">
        <f>K44*K$40</f>
        <v>986.99129520055521</v>
      </c>
    </row>
    <row r="44" spans="1:13" x14ac:dyDescent="0.2">
      <c r="B44" s="6" t="s">
        <v>35</v>
      </c>
      <c r="C44" s="2"/>
      <c r="D44" s="7">
        <f>D43/D$40</f>
        <v>0.24550036389440888</v>
      </c>
      <c r="E44" s="7">
        <f>E43/E$40</f>
        <v>0.23360933251112151</v>
      </c>
      <c r="F44" s="7">
        <f>F43/F$40</f>
        <v>0.22503873161870944</v>
      </c>
      <c r="G44" s="8">
        <f>F44+$M44</f>
        <v>0.22503873161870944</v>
      </c>
      <c r="H44" s="8">
        <f>G44+$M44</f>
        <v>0.22503873161870944</v>
      </c>
      <c r="I44" s="8">
        <f>H44+$M44</f>
        <v>0.22503873161870944</v>
      </c>
      <c r="J44" s="8">
        <f>I44+$M44</f>
        <v>0.22503873161870944</v>
      </c>
      <c r="K44" s="8">
        <f>J44+$M44</f>
        <v>0.22503873161870944</v>
      </c>
      <c r="M44" s="42">
        <v>0</v>
      </c>
    </row>
    <row r="45" spans="1:13" x14ac:dyDescent="0.2">
      <c r="B45" s="2"/>
      <c r="C45" s="2"/>
      <c r="D45" s="9"/>
      <c r="E45" s="9"/>
      <c r="F45" s="9"/>
      <c r="H45" s="10"/>
    </row>
    <row r="46" spans="1:13" x14ac:dyDescent="0.2">
      <c r="B46" s="2" t="s">
        <v>36</v>
      </c>
      <c r="C46" s="2"/>
      <c r="D46" s="9">
        <v>1211.951</v>
      </c>
      <c r="E46" s="9">
        <v>1227.895</v>
      </c>
      <c r="F46" s="9">
        <v>1264.3820000000001</v>
      </c>
      <c r="G46" s="5">
        <f>G47*G$40</f>
        <v>1316.6541052640457</v>
      </c>
      <c r="H46" s="5">
        <f>H47*H$40</f>
        <v>1371.0872449217597</v>
      </c>
      <c r="I46" s="5">
        <f>I47*I$40</f>
        <v>1427.7707604991249</v>
      </c>
      <c r="J46" s="5">
        <f>J47*J$40</f>
        <v>1486.7976870812311</v>
      </c>
      <c r="K46" s="5">
        <f>K47*K$40</f>
        <v>1548.2649060114668</v>
      </c>
    </row>
    <row r="47" spans="1:13" x14ac:dyDescent="0.2">
      <c r="B47" s="6" t="s">
        <v>35</v>
      </c>
      <c r="C47" s="2"/>
      <c r="D47" s="7">
        <f>D46/D$40</f>
        <v>0.36690698229208674</v>
      </c>
      <c r="E47" s="7">
        <f>E46/E$40</f>
        <v>0.35699779880988619</v>
      </c>
      <c r="F47" s="7">
        <f>F46/F$40</f>
        <v>0.35301179691537454</v>
      </c>
      <c r="G47" s="8">
        <f>F47+$M47</f>
        <v>0.35301179691537454</v>
      </c>
      <c r="H47" s="8">
        <f>G47+$M47</f>
        <v>0.35301179691537454</v>
      </c>
      <c r="I47" s="8">
        <f>H47+$M47</f>
        <v>0.35301179691537454</v>
      </c>
      <c r="J47" s="8">
        <f>I47+$M47</f>
        <v>0.35301179691537454</v>
      </c>
      <c r="K47" s="8">
        <f>J47+$M47</f>
        <v>0.35301179691537454</v>
      </c>
      <c r="M47" s="42">
        <v>0</v>
      </c>
    </row>
    <row r="48" spans="1:13" x14ac:dyDescent="0.2">
      <c r="B48" s="2"/>
      <c r="C48" s="2"/>
      <c r="D48" s="9"/>
      <c r="E48" s="9"/>
      <c r="F48" s="9"/>
    </row>
    <row r="49" spans="2:13" x14ac:dyDescent="0.2">
      <c r="B49" s="2" t="s">
        <v>37</v>
      </c>
      <c r="C49" s="2"/>
      <c r="D49" s="9">
        <v>881.62699999999995</v>
      </c>
      <c r="E49" s="9">
        <v>922.428</v>
      </c>
      <c r="F49" s="9">
        <v>959.221</v>
      </c>
      <c r="G49" s="5">
        <f>G50*G$40</f>
        <v>980.22826491094645</v>
      </c>
      <c r="H49" s="5">
        <f>H50*H$40</f>
        <v>1001.3330306984794</v>
      </c>
      <c r="I49" s="5">
        <f>I50*I$40</f>
        <v>1022.5074542979072</v>
      </c>
      <c r="J49" s="5">
        <f>J50*J$40</f>
        <v>1043.7212238226439</v>
      </c>
      <c r="K49" s="5">
        <f>K50*K$40</f>
        <v>1064.9414020203671</v>
      </c>
    </row>
    <row r="50" spans="2:13" x14ac:dyDescent="0.2">
      <c r="B50" s="6" t="s">
        <v>35</v>
      </c>
      <c r="C50" s="2"/>
      <c r="D50" s="7">
        <f>D49/D$40</f>
        <v>0.26690443926959551</v>
      </c>
      <c r="E50" s="7">
        <f>E49/E$40</f>
        <v>0.26818642111956292</v>
      </c>
      <c r="F50" s="7">
        <f>F49/F$40</f>
        <v>0.26781172845624379</v>
      </c>
      <c r="G50" s="8">
        <f>F50+$M50</f>
        <v>0.26281172845624379</v>
      </c>
      <c r="H50" s="8">
        <f>G50+$M50</f>
        <v>0.25781172845624378</v>
      </c>
      <c r="I50" s="8">
        <f>H50+$M50</f>
        <v>0.25281172845624378</v>
      </c>
      <c r="J50" s="8">
        <f>I50+$M50</f>
        <v>0.24781172845624377</v>
      </c>
      <c r="K50" s="8">
        <f>J50+$M50</f>
        <v>0.24281172845624377</v>
      </c>
      <c r="M50" s="42">
        <v>-5.0000000000000001E-3</v>
      </c>
    </row>
    <row r="51" spans="2:13" x14ac:dyDescent="0.2">
      <c r="B51" s="2"/>
      <c r="C51" s="2"/>
      <c r="D51" s="9"/>
      <c r="E51" s="9"/>
      <c r="F51" s="9"/>
    </row>
    <row r="52" spans="2:13" x14ac:dyDescent="0.2">
      <c r="B52" s="2" t="s">
        <v>38</v>
      </c>
      <c r="C52" s="2"/>
      <c r="D52" s="9">
        <v>205.75299999999999</v>
      </c>
      <c r="E52" s="9">
        <v>217.44900000000001</v>
      </c>
      <c r="F52" s="9">
        <v>228.73699999999999</v>
      </c>
      <c r="G52" s="5">
        <f>G53*G$40</f>
        <v>219.5445811589625</v>
      </c>
      <c r="H52" s="5">
        <f>H53*H$40</f>
        <v>209.2011472807888</v>
      </c>
      <c r="I52" s="5">
        <f>I53*I$40</f>
        <v>197.627239131571</v>
      </c>
      <c r="J52" s="5">
        <f>J53*J$40</f>
        <v>184.738794738834</v>
      </c>
      <c r="K52" s="5">
        <f>K53*K$40</f>
        <v>170.44690462726913</v>
      </c>
    </row>
    <row r="53" spans="2:13" x14ac:dyDescent="0.2">
      <c r="B53" s="6" t="s">
        <v>35</v>
      </c>
      <c r="C53" s="2"/>
      <c r="D53" s="7">
        <f>D52/D$40</f>
        <v>6.2289822218508602E-2</v>
      </c>
      <c r="E53" s="7">
        <f>E52/E$40</f>
        <v>6.3221052576491424E-2</v>
      </c>
      <c r="F53" s="7">
        <f>F52/F$40</f>
        <v>6.3862708731247372E-2</v>
      </c>
      <c r="G53" s="8">
        <f>F53+$M53</f>
        <v>5.8862708731247375E-2</v>
      </c>
      <c r="H53" s="8">
        <f>G53+$M53</f>
        <v>5.3862708731247377E-2</v>
      </c>
      <c r="I53" s="8">
        <f>H53+$M53</f>
        <v>4.886270873124738E-2</v>
      </c>
      <c r="J53" s="8">
        <f>I53+$M53</f>
        <v>4.3862708731247382E-2</v>
      </c>
      <c r="K53" s="8">
        <f>J53+$M53</f>
        <v>3.8862708731247385E-2</v>
      </c>
      <c r="M53" s="42">
        <v>-5.0000000000000001E-3</v>
      </c>
    </row>
    <row r="54" spans="2:13" x14ac:dyDescent="0.2">
      <c r="B54" s="2"/>
      <c r="C54" s="2"/>
      <c r="D54" s="9"/>
      <c r="E54" s="9"/>
      <c r="F54" s="9"/>
    </row>
    <row r="55" spans="2:13" x14ac:dyDescent="0.2">
      <c r="B55" s="2" t="s">
        <v>39</v>
      </c>
      <c r="C55" s="2"/>
      <c r="D55" s="9">
        <v>92.38</v>
      </c>
      <c r="E55" s="9">
        <v>93.135999999999996</v>
      </c>
      <c r="F55" s="9">
        <v>101.45</v>
      </c>
      <c r="G55" s="5">
        <f>G56*G$40</f>
        <v>105.64414787543434</v>
      </c>
      <c r="H55" s="5">
        <f>H56*H$40</f>
        <v>110.01169029400332</v>
      </c>
      <c r="I55" s="5">
        <f>I56*I$40</f>
        <v>114.55979573628557</v>
      </c>
      <c r="J55" s="5">
        <f>J56*J$40</f>
        <v>119.29592904232335</v>
      </c>
      <c r="K55" s="5">
        <f>K56*K$40</f>
        <v>124.22786366372132</v>
      </c>
    </row>
    <row r="56" spans="2:13" x14ac:dyDescent="0.2">
      <c r="B56" s="6" t="s">
        <v>40</v>
      </c>
      <c r="C56" s="2"/>
      <c r="D56" s="7">
        <f>D55/D$40</f>
        <v>2.7967192587937111E-2</v>
      </c>
      <c r="E56" s="7">
        <f>E55/E$40</f>
        <v>2.7078330793722231E-2</v>
      </c>
      <c r="F56" s="7">
        <f>F55/F$40</f>
        <v>2.8324546535038259E-2</v>
      </c>
      <c r="G56" s="8">
        <f>F56+$M56</f>
        <v>2.8324546535038259E-2</v>
      </c>
      <c r="H56" s="8">
        <f>G56+$M56</f>
        <v>2.8324546535038259E-2</v>
      </c>
      <c r="I56" s="8">
        <f>H56+$M56</f>
        <v>2.8324546535038259E-2</v>
      </c>
      <c r="J56" s="8">
        <f>I56+$M56</f>
        <v>2.8324546535038259E-2</v>
      </c>
      <c r="K56" s="8">
        <f>J56+$M56</f>
        <v>2.8324546535038259E-2</v>
      </c>
      <c r="M56" s="42">
        <v>0</v>
      </c>
    </row>
    <row r="57" spans="2:13" x14ac:dyDescent="0.2">
      <c r="B57" s="2"/>
      <c r="C57" s="2"/>
      <c r="D57" s="9"/>
      <c r="E57" s="9"/>
      <c r="F57" s="9"/>
    </row>
    <row r="58" spans="2:13" x14ac:dyDescent="0.2">
      <c r="B58" s="2" t="s">
        <v>41</v>
      </c>
      <c r="C58" s="2"/>
      <c r="D58" s="9">
        <v>31.387</v>
      </c>
      <c r="E58" s="9">
        <v>29.463999999999999</v>
      </c>
      <c r="F58" s="9">
        <v>13.647</v>
      </c>
      <c r="G58" s="5">
        <f>F58</f>
        <v>13.647</v>
      </c>
      <c r="H58" s="5">
        <f>G58</f>
        <v>13.647</v>
      </c>
      <c r="I58" s="5">
        <f>H58</f>
        <v>13.647</v>
      </c>
      <c r="J58" s="5">
        <f>I58</f>
        <v>13.647</v>
      </c>
      <c r="K58" s="5">
        <f>J58</f>
        <v>13.647</v>
      </c>
    </row>
    <row r="59" spans="2:13" x14ac:dyDescent="0.2">
      <c r="B59" s="2"/>
      <c r="C59" s="2"/>
      <c r="D59" s="9"/>
      <c r="E59" s="9"/>
      <c r="F59" s="9"/>
    </row>
    <row r="60" spans="2:13" x14ac:dyDescent="0.2">
      <c r="B60" s="2" t="s">
        <v>42</v>
      </c>
      <c r="C60" s="2"/>
      <c r="D60" s="9">
        <v>13.368</v>
      </c>
      <c r="E60" s="9">
        <v>11.686</v>
      </c>
      <c r="F60" s="9">
        <v>2.4289999999999998</v>
      </c>
      <c r="G60" s="11">
        <f t="shared" ref="G60:K61" si="1">F60</f>
        <v>2.4289999999999998</v>
      </c>
      <c r="H60" s="11">
        <f t="shared" si="1"/>
        <v>2.4289999999999998</v>
      </c>
      <c r="I60" s="11">
        <f t="shared" si="1"/>
        <v>2.4289999999999998</v>
      </c>
      <c r="J60" s="11">
        <f t="shared" si="1"/>
        <v>2.4289999999999998</v>
      </c>
      <c r="K60" s="11">
        <f t="shared" si="1"/>
        <v>2.4289999999999998</v>
      </c>
    </row>
    <row r="61" spans="2:13" x14ac:dyDescent="0.2">
      <c r="B61" s="2" t="s">
        <v>43</v>
      </c>
      <c r="C61" s="2"/>
      <c r="D61" s="9">
        <v>16.829000000000001</v>
      </c>
      <c r="E61" s="9">
        <v>25.379000000000001</v>
      </c>
      <c r="F61" s="9">
        <v>27.495000000000001</v>
      </c>
      <c r="G61" s="11">
        <f t="shared" si="1"/>
        <v>27.495000000000001</v>
      </c>
      <c r="H61" s="11">
        <f t="shared" si="1"/>
        <v>27.495000000000001</v>
      </c>
      <c r="I61" s="11">
        <f t="shared" si="1"/>
        <v>27.495000000000001</v>
      </c>
      <c r="J61" s="11">
        <f t="shared" si="1"/>
        <v>27.495000000000001</v>
      </c>
      <c r="K61" s="11">
        <f t="shared" si="1"/>
        <v>27.495000000000001</v>
      </c>
    </row>
    <row r="62" spans="2:13" x14ac:dyDescent="0.2">
      <c r="B62" s="12" t="s">
        <v>44</v>
      </c>
      <c r="C62" s="12"/>
      <c r="D62" s="13">
        <v>3264.221</v>
      </c>
      <c r="E62" s="13">
        <v>3330.9369999999999</v>
      </c>
      <c r="F62" s="13">
        <v>3403.3820000000001</v>
      </c>
      <c r="G62" s="14">
        <f>SUM(G43,G46,G49,G52,G55,G58,G60,G61)</f>
        <v>3504.9856350862296</v>
      </c>
      <c r="H62" s="14">
        <f>SUM(H43,H46,H49,H52,H55,H58,H60,H61)</f>
        <v>3609.2478058757893</v>
      </c>
      <c r="I62" s="14">
        <f>SUM(I43,I46,I49,I52,I55,I58,I60,I61)</f>
        <v>3716.2146737078324</v>
      </c>
      <c r="J62" s="14">
        <f>SUM(J43,J46,J49,J52,J55,J58,J60,J61)</f>
        <v>3825.9316728577523</v>
      </c>
      <c r="K62" s="14">
        <f>SUM(K43,K46,K49,K52,K55,K58,K60,K61)</f>
        <v>3938.4433715233795</v>
      </c>
    </row>
    <row r="63" spans="2:13" x14ac:dyDescent="0.2">
      <c r="B63" s="2"/>
      <c r="C63" s="2"/>
      <c r="D63" s="9"/>
      <c r="E63" s="9"/>
      <c r="F63" s="9"/>
    </row>
    <row r="64" spans="2:13" ht="15" x14ac:dyDescent="0.25">
      <c r="B64" s="15" t="s">
        <v>45</v>
      </c>
      <c r="C64" s="15"/>
      <c r="D64" s="16">
        <v>38.935000000000002</v>
      </c>
      <c r="E64" s="16">
        <v>108.566</v>
      </c>
      <c r="F64" s="16">
        <v>178.31700000000001</v>
      </c>
      <c r="G64" s="17">
        <f>G40-G62</f>
        <v>224.78803471461106</v>
      </c>
      <c r="H64" s="17">
        <f>H40-H62</f>
        <v>274.72223960810834</v>
      </c>
      <c r="I64" s="17">
        <f>I40-I62</f>
        <v>328.32653702512243</v>
      </c>
      <c r="J64" s="17">
        <f>J40-J62</f>
        <v>385.81903936462822</v>
      </c>
      <c r="K64" s="17">
        <f>K40-K62</f>
        <v>447.42962065490565</v>
      </c>
    </row>
    <row r="65" spans="2:19" x14ac:dyDescent="0.2">
      <c r="B65" s="2" t="s">
        <v>46</v>
      </c>
      <c r="C65" s="2"/>
      <c r="D65" s="9">
        <v>-7.4880000000000004</v>
      </c>
      <c r="E65" s="55">
        <v>-10.16</v>
      </c>
      <c r="F65" s="55">
        <v>-10.106999999999999</v>
      </c>
      <c r="G65" s="57">
        <f ca="1">G241*$D$18</f>
        <v>-142.08333230372051</v>
      </c>
      <c r="H65" s="57">
        <f t="shared" ref="H65:K65" ca="1" si="2">H241*$D$18</f>
        <v>-137.77178994579717</v>
      </c>
      <c r="I65" s="57">
        <f t="shared" ca="1" si="2"/>
        <v>-129.21554490664587</v>
      </c>
      <c r="J65" s="57">
        <f t="shared" ca="1" si="2"/>
        <v>-115.7893617812006</v>
      </c>
      <c r="K65" s="57">
        <f t="shared" ca="1" si="2"/>
        <v>-96.801314770187986</v>
      </c>
    </row>
    <row r="66" spans="2:19" x14ac:dyDescent="0.2">
      <c r="B66" s="2" t="s">
        <v>146</v>
      </c>
      <c r="C66" s="2"/>
      <c r="D66" s="9"/>
      <c r="E66" s="55"/>
      <c r="G66" s="57">
        <f>-G225</f>
        <v>-32.333799999999989</v>
      </c>
      <c r="H66" s="57">
        <f ca="1">-H225</f>
        <v>-35.567179999999986</v>
      </c>
      <c r="I66" s="57">
        <f ca="1">-I225</f>
        <v>-39.12389799999999</v>
      </c>
      <c r="J66" s="57">
        <f ca="1">-J225</f>
        <v>-43.03628779999999</v>
      </c>
      <c r="K66" s="57">
        <f ca="1">-K225</f>
        <v>-47.339916579999986</v>
      </c>
      <c r="R66" s="1" t="s">
        <v>200</v>
      </c>
      <c r="S66" s="99">
        <f>F65/D115</f>
        <v>-2.2357552725068681E-2</v>
      </c>
    </row>
    <row r="67" spans="2:19" x14ac:dyDescent="0.2">
      <c r="B67" s="2" t="s">
        <v>99</v>
      </c>
      <c r="C67" s="2"/>
      <c r="D67" s="9"/>
      <c r="E67" s="55"/>
      <c r="F67" s="55"/>
      <c r="G67" s="56">
        <f>-$H$30/$D$14</f>
        <v>-7.8789112619620241</v>
      </c>
      <c r="H67" s="56">
        <f>-$H$30/$D$14</f>
        <v>-7.8789112619620241</v>
      </c>
      <c r="I67" s="56">
        <f>-$H$30/$D$14</f>
        <v>-7.8789112619620241</v>
      </c>
      <c r="J67" s="56">
        <f>-$H$30/$D$14</f>
        <v>-7.8789112619620241</v>
      </c>
      <c r="K67" s="56">
        <f>-$H$30/$D$14</f>
        <v>-7.8789112619620241</v>
      </c>
    </row>
    <row r="68" spans="2:19" x14ac:dyDescent="0.2">
      <c r="B68" s="2" t="s">
        <v>47</v>
      </c>
      <c r="C68" s="2"/>
      <c r="D68" s="9">
        <v>1.4450000000000001</v>
      </c>
      <c r="E68" s="55">
        <v>1.6080000000000001</v>
      </c>
      <c r="F68" s="55">
        <v>2.8370000000000002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</row>
    <row r="69" spans="2:19" x14ac:dyDescent="0.2">
      <c r="B69" s="12" t="s">
        <v>48</v>
      </c>
      <c r="C69" s="12"/>
      <c r="D69" s="13">
        <v>32.892000000000003</v>
      </c>
      <c r="E69" s="13">
        <v>100.014</v>
      </c>
      <c r="F69" s="13">
        <v>171.047</v>
      </c>
      <c r="G69" s="14">
        <f ca="1">SUM(G64:G68)</f>
        <v>42.491991148928534</v>
      </c>
      <c r="H69" s="14">
        <f ca="1">SUM(H64:H68)</f>
        <v>93.504358400349162</v>
      </c>
      <c r="I69" s="14">
        <f ca="1">SUM(I64:I68)</f>
        <v>152.10818285651453</v>
      </c>
      <c r="J69" s="14">
        <f ca="1">SUM(J64:J68)</f>
        <v>219.11447852146563</v>
      </c>
      <c r="K69" s="14">
        <f ca="1">SUM(K64:K68)</f>
        <v>295.40947804275567</v>
      </c>
    </row>
    <row r="70" spans="2:19" x14ac:dyDescent="0.2">
      <c r="B70" s="2" t="s">
        <v>49</v>
      </c>
      <c r="C70" s="2"/>
      <c r="D70" s="9">
        <v>-10.231</v>
      </c>
      <c r="E70" s="9">
        <v>-1.337</v>
      </c>
      <c r="F70" s="9">
        <v>14.263999999999999</v>
      </c>
      <c r="G70" s="9">
        <f ca="1">G69*-$D$13</f>
        <v>-10.622997787232134</v>
      </c>
      <c r="H70" s="9">
        <f ca="1">H69*-$D$13</f>
        <v>-23.37608960008729</v>
      </c>
      <c r="I70" s="9">
        <f ca="1">I69*-$D$13</f>
        <v>-38.027045714128633</v>
      </c>
      <c r="J70" s="9">
        <f ca="1">J69*-$D$13</f>
        <v>-54.778619630366407</v>
      </c>
      <c r="K70" s="9">
        <f ca="1">K69*-$D$13</f>
        <v>-73.852369510688916</v>
      </c>
    </row>
    <row r="71" spans="2:19" ht="15" x14ac:dyDescent="0.25">
      <c r="B71" s="15" t="s">
        <v>50</v>
      </c>
      <c r="C71" s="15"/>
      <c r="D71" s="18">
        <v>43.122999999999998</v>
      </c>
      <c r="E71" s="18">
        <v>101.351</v>
      </c>
      <c r="F71" s="18">
        <v>156.78299999999999</v>
      </c>
      <c r="G71" s="18">
        <f ca="1">SUM(G69:G70)</f>
        <v>31.868993361696401</v>
      </c>
      <c r="H71" s="18">
        <f ca="1">SUM(H69:H70)</f>
        <v>70.128268800261878</v>
      </c>
      <c r="I71" s="18">
        <f ca="1">SUM(I69:I70)</f>
        <v>114.0811371423859</v>
      </c>
      <c r="J71" s="18">
        <f ca="1">SUM(J69:J70)</f>
        <v>164.33585889109924</v>
      </c>
      <c r="K71" s="18">
        <f ca="1">SUM(K69:K70)</f>
        <v>221.55710853206676</v>
      </c>
    </row>
    <row r="72" spans="2:19" x14ac:dyDescent="0.2">
      <c r="I72" s="10"/>
    </row>
    <row r="74" spans="2:19" x14ac:dyDescent="0.2">
      <c r="B74" s="1" t="s">
        <v>158</v>
      </c>
      <c r="D74" s="10">
        <f>D40-D43-D46-D49-D52</f>
        <v>192.89900000000006</v>
      </c>
      <c r="E74" s="10">
        <f t="shared" ref="E74:K74" si="3">E40-E43-E46-E49-E52</f>
        <v>268.23100000000017</v>
      </c>
      <c r="F74" s="10">
        <f t="shared" si="3"/>
        <v>323.33799999999985</v>
      </c>
      <c r="G74" s="10">
        <f>G40-G43-G46-G49-G52</f>
        <v>374.00318259004541</v>
      </c>
      <c r="H74" s="10">
        <f t="shared" si="3"/>
        <v>428.30492990211218</v>
      </c>
      <c r="I74" s="10">
        <f t="shared" si="3"/>
        <v>486.4573327614084</v>
      </c>
      <c r="J74" s="10">
        <f t="shared" si="3"/>
        <v>548.68596840695091</v>
      </c>
      <c r="K74" s="10">
        <f t="shared" si="3"/>
        <v>615.2284843186269</v>
      </c>
    </row>
    <row r="75" spans="2:19" x14ac:dyDescent="0.2">
      <c r="B75" s="1" t="s">
        <v>35</v>
      </c>
      <c r="D75" s="43">
        <f>D74/D$40</f>
        <v>5.8398392325400332E-2</v>
      </c>
      <c r="E75" s="43">
        <f t="shared" ref="E75:K75" si="4">E74/E$40</f>
        <v>7.7985394982937981E-2</v>
      </c>
      <c r="F75" s="43">
        <f t="shared" si="4"/>
        <v>9.0275034278424801E-2</v>
      </c>
      <c r="G75" s="43">
        <f t="shared" si="4"/>
        <v>0.10027503427842475</v>
      </c>
      <c r="H75" s="43">
        <f t="shared" si="4"/>
        <v>0.11027503427842486</v>
      </c>
      <c r="I75" s="43">
        <f t="shared" si="4"/>
        <v>0.12027503427842492</v>
      </c>
      <c r="J75" s="43">
        <f t="shared" si="4"/>
        <v>0.13027503427842485</v>
      </c>
      <c r="K75" s="43">
        <f t="shared" si="4"/>
        <v>0.14027503427842489</v>
      </c>
    </row>
    <row r="77" spans="2:19" x14ac:dyDescent="0.2">
      <c r="B77" s="1" t="s">
        <v>100</v>
      </c>
      <c r="D77" s="9">
        <v>-112.464</v>
      </c>
      <c r="E77" s="9">
        <v>-151.565</v>
      </c>
      <c r="F77" s="9">
        <v>-160.364</v>
      </c>
      <c r="G77" s="5">
        <f>-G78*G$40</f>
        <v>-166.99377161060769</v>
      </c>
      <c r="H77" s="5">
        <f>-H78*H$40</f>
        <v>-173.89763136823606</v>
      </c>
      <c r="I77" s="5">
        <f>-I78*I$40</f>
        <v>-181.08691063039623</v>
      </c>
      <c r="J77" s="5">
        <f>-J78*J$40</f>
        <v>-188.57340921580229</v>
      </c>
      <c r="K77" s="5">
        <f>-K78*K$40</f>
        <v>-196.36941477150327</v>
      </c>
    </row>
    <row r="78" spans="2:19" x14ac:dyDescent="0.2">
      <c r="B78" s="1" t="s">
        <v>103</v>
      </c>
      <c r="D78" s="44">
        <f>-D77/D40</f>
        <v>3.4047438268129025E-2</v>
      </c>
      <c r="E78" s="44">
        <f>-E77/E40</f>
        <v>4.4065959529618087E-2</v>
      </c>
      <c r="F78" s="44">
        <f>-F77/F40</f>
        <v>4.4773164914192955E-2</v>
      </c>
      <c r="G78" s="8">
        <f>F78+$M78</f>
        <v>4.4773164914192955E-2</v>
      </c>
      <c r="H78" s="8">
        <f>G78+$M78</f>
        <v>4.4773164914192955E-2</v>
      </c>
      <c r="I78" s="8">
        <f>H78+$M78</f>
        <v>4.4773164914192955E-2</v>
      </c>
      <c r="J78" s="8">
        <f>I78+$M78</f>
        <v>4.4773164914192955E-2</v>
      </c>
      <c r="K78" s="8">
        <f>J78+$M78</f>
        <v>4.4773164914192955E-2</v>
      </c>
    </row>
    <row r="82" spans="1:14" ht="15" x14ac:dyDescent="0.25">
      <c r="A82" s="1" t="s">
        <v>0</v>
      </c>
      <c r="B82" s="96" t="s">
        <v>51</v>
      </c>
      <c r="C82" s="96"/>
      <c r="D82" s="96"/>
      <c r="E82" s="96"/>
      <c r="F82" s="96"/>
      <c r="G82" s="96"/>
      <c r="H82" s="96"/>
      <c r="I82" s="96"/>
      <c r="J82" s="96"/>
      <c r="K82" s="96"/>
      <c r="M82" s="96" t="s">
        <v>104</v>
      </c>
      <c r="N82" s="96"/>
    </row>
    <row r="83" spans="1:14" x14ac:dyDescent="0.2">
      <c r="M83" s="1" t="s">
        <v>52</v>
      </c>
      <c r="N83" s="10">
        <f>D105</f>
        <v>3041.76</v>
      </c>
    </row>
    <row r="84" spans="1:14" ht="15" x14ac:dyDescent="0.25">
      <c r="B84" s="2"/>
      <c r="C84" s="2"/>
      <c r="D84" s="19" t="s">
        <v>53</v>
      </c>
      <c r="M84" s="1" t="s">
        <v>54</v>
      </c>
      <c r="N84" s="11">
        <f>D122</f>
        <v>2598.3049999999998</v>
      </c>
    </row>
    <row r="85" spans="1:14" ht="15" x14ac:dyDescent="0.25">
      <c r="A85" s="1" t="s">
        <v>0</v>
      </c>
      <c r="B85" s="2"/>
      <c r="C85" s="2"/>
      <c r="D85" s="86">
        <v>2024</v>
      </c>
      <c r="E85" s="87" t="s">
        <v>55</v>
      </c>
      <c r="F85" s="85" t="s">
        <v>56</v>
      </c>
      <c r="G85" s="85">
        <v>2025</v>
      </c>
      <c r="H85" s="85">
        <f>G85+1</f>
        <v>2026</v>
      </c>
      <c r="I85" s="85">
        <f>H85+1</f>
        <v>2027</v>
      </c>
      <c r="J85" s="85">
        <f>I85+1</f>
        <v>2028</v>
      </c>
      <c r="K85" s="85">
        <f>J85+1</f>
        <v>2029</v>
      </c>
      <c r="M85" s="1" t="s">
        <v>57</v>
      </c>
      <c r="N85" s="11">
        <f>D101</f>
        <v>0</v>
      </c>
    </row>
    <row r="86" spans="1:14" ht="15" x14ac:dyDescent="0.25">
      <c r="B86" s="20" t="s">
        <v>58</v>
      </c>
      <c r="C86" s="20"/>
      <c r="D86" s="3"/>
      <c r="E86" s="38"/>
      <c r="M86" s="1" t="s">
        <v>59</v>
      </c>
      <c r="N86" s="10">
        <f>N83-N84-N85</f>
        <v>443.45500000000038</v>
      </c>
    </row>
    <row r="87" spans="1:14" x14ac:dyDescent="0.2">
      <c r="B87" s="2" t="s">
        <v>60</v>
      </c>
      <c r="C87" s="2"/>
      <c r="D87" s="3"/>
      <c r="E87" s="38"/>
      <c r="M87" s="1" t="s">
        <v>105</v>
      </c>
      <c r="N87" s="5">
        <f>H28</f>
        <v>3308.9392555822778</v>
      </c>
    </row>
    <row r="88" spans="1:14" ht="15" x14ac:dyDescent="0.25">
      <c r="B88" s="2" t="s">
        <v>61</v>
      </c>
      <c r="C88" s="2"/>
      <c r="D88" s="4">
        <v>84.176000000000002</v>
      </c>
      <c r="E88" s="39">
        <f>-C31</f>
        <v>-34.176000000000002</v>
      </c>
      <c r="F88" s="10">
        <f>SUM(D88:E88)</f>
        <v>50</v>
      </c>
      <c r="G88" s="53">
        <f ca="1">G188</f>
        <v>49.999999999999886</v>
      </c>
      <c r="H88" s="53">
        <f ca="1">H188</f>
        <v>49.99999999995245</v>
      </c>
      <c r="I88" s="53">
        <f ca="1">I188</f>
        <v>49.999999991955775</v>
      </c>
      <c r="J88" s="53">
        <f ca="1">J188</f>
        <v>49.999999251139513</v>
      </c>
      <c r="K88" s="53">
        <f ca="1">K188</f>
        <v>49.999958643061177</v>
      </c>
      <c r="M88" s="35" t="s">
        <v>62</v>
      </c>
      <c r="N88" s="17">
        <f>N87-N86</f>
        <v>2865.4842555822775</v>
      </c>
    </row>
    <row r="89" spans="1:14" x14ac:dyDescent="0.2">
      <c r="B89" s="2" t="s">
        <v>63</v>
      </c>
      <c r="C89" s="2"/>
      <c r="D89" s="9">
        <v>112.503</v>
      </c>
      <c r="E89" s="38"/>
      <c r="F89" s="11">
        <f>SUM(D89:E89)</f>
        <v>112.503</v>
      </c>
      <c r="G89" s="48">
        <f>G142</f>
        <v>117.15410121665832</v>
      </c>
      <c r="H89" s="48">
        <f>H142</f>
        <v>121.997488350382</v>
      </c>
      <c r="I89" s="48">
        <f>I142</f>
        <v>127.04111088929851</v>
      </c>
      <c r="J89" s="48">
        <f>J142</f>
        <v>132.29324696942831</v>
      </c>
      <c r="K89" s="48">
        <f>K142</f>
        <v>137.76251696165244</v>
      </c>
    </row>
    <row r="90" spans="1:14" x14ac:dyDescent="0.2">
      <c r="B90" s="2" t="s">
        <v>64</v>
      </c>
      <c r="C90" s="2"/>
      <c r="D90" s="9">
        <v>17.417000000000002</v>
      </c>
      <c r="E90" s="38"/>
      <c r="F90" s="11">
        <f>SUM(D90:E90)</f>
        <v>17.417000000000002</v>
      </c>
      <c r="G90" s="49">
        <f>G144</f>
        <v>18.137053953143813</v>
      </c>
      <c r="H90" s="49">
        <f>H144</f>
        <v>18.886876390839387</v>
      </c>
      <c r="I90" s="49">
        <f>I144</f>
        <v>19.667698002354715</v>
      </c>
      <c r="J90" s="49">
        <f>J144</f>
        <v>20.480800356137465</v>
      </c>
      <c r="K90" s="49">
        <f>K144</f>
        <v>21.32751800326303</v>
      </c>
    </row>
    <row r="91" spans="1:14" x14ac:dyDescent="0.2">
      <c r="B91" s="2" t="s">
        <v>65</v>
      </c>
      <c r="C91" s="2"/>
      <c r="D91" s="9">
        <v>64.525999999999996</v>
      </c>
      <c r="E91" s="38"/>
      <c r="F91" s="11">
        <f>SUM(D91:E91)</f>
        <v>64.525999999999996</v>
      </c>
      <c r="G91" s="48">
        <f>G146</f>
        <v>66.4523415501328</v>
      </c>
      <c r="H91" s="48">
        <f>H146</f>
        <v>68.429087279048062</v>
      </c>
      <c r="I91" s="48">
        <f>I146</f>
        <v>70.45711237694492</v>
      </c>
      <c r="J91" s="48">
        <f>J146</f>
        <v>72.537278249347068</v>
      </c>
      <c r="K91" s="48">
        <f>K146</f>
        <v>74.670429881487763</v>
      </c>
    </row>
    <row r="92" spans="1:14" x14ac:dyDescent="0.2">
      <c r="B92" s="2" t="s">
        <v>66</v>
      </c>
      <c r="C92" s="2"/>
      <c r="D92" s="9">
        <v>54.691000000000003</v>
      </c>
      <c r="E92" s="38"/>
      <c r="F92" s="11">
        <f>SUM(D92:E92)</f>
        <v>54.691000000000003</v>
      </c>
      <c r="G92" s="49">
        <f>G148</f>
        <v>56.952036386943114</v>
      </c>
      <c r="H92" s="49">
        <f>H148</f>
        <v>59.306548584222135</v>
      </c>
      <c r="I92" s="49">
        <f>I148</f>
        <v>61.758401070608116</v>
      </c>
      <c r="J92" s="49">
        <f>J148</f>
        <v>64.311618090228748</v>
      </c>
      <c r="K92" s="49">
        <f>K148</f>
        <v>66.970390257590765</v>
      </c>
    </row>
    <row r="93" spans="1:14" x14ac:dyDescent="0.2">
      <c r="B93" s="2" t="s">
        <v>67</v>
      </c>
      <c r="C93" s="2"/>
      <c r="D93" s="9">
        <v>333.31299999999999</v>
      </c>
      <c r="E93" s="38"/>
      <c r="F93" s="10">
        <f t="shared" ref="F93:K93" si="5">SUM(F88:F92)</f>
        <v>299.13699999999994</v>
      </c>
      <c r="G93" s="10">
        <f t="shared" ca="1" si="5"/>
        <v>308.69553310687792</v>
      </c>
      <c r="H93" s="10">
        <f t="shared" ca="1" si="5"/>
        <v>318.62000060444399</v>
      </c>
      <c r="I93" s="10">
        <f t="shared" ca="1" si="5"/>
        <v>328.92432233116199</v>
      </c>
      <c r="J93" s="10">
        <f t="shared" ca="1" si="5"/>
        <v>339.62294291628115</v>
      </c>
      <c r="K93" s="10">
        <f t="shared" ca="1" si="5"/>
        <v>350.73081374705521</v>
      </c>
    </row>
    <row r="94" spans="1:14" x14ac:dyDescent="0.2">
      <c r="B94" s="2"/>
      <c r="C94" s="2"/>
      <c r="D94" s="3">
        <v>0</v>
      </c>
      <c r="E94" s="38"/>
    </row>
    <row r="95" spans="1:14" x14ac:dyDescent="0.2">
      <c r="B95" s="2" t="s">
        <v>68</v>
      </c>
      <c r="C95" s="2"/>
      <c r="D95" s="9">
        <v>840.77300000000002</v>
      </c>
      <c r="E95" s="38"/>
      <c r="F95" s="11">
        <f t="shared" ref="F95:F100" si="6">SUM(D95:E95)</f>
        <v>840.77300000000002</v>
      </c>
      <c r="G95" s="5">
        <f>F95-G77-G55</f>
        <v>902.12262373517342</v>
      </c>
      <c r="H95" s="5">
        <f>G95-H77-H55</f>
        <v>966.00856480940615</v>
      </c>
      <c r="I95" s="5">
        <f>H95-I77-I55</f>
        <v>1032.5356797035167</v>
      </c>
      <c r="J95" s="5">
        <f>I95-J77-J55</f>
        <v>1101.8131598769955</v>
      </c>
      <c r="K95" s="5">
        <f>J95-K77-K55</f>
        <v>1173.9547109847774</v>
      </c>
    </row>
    <row r="96" spans="1:14" x14ac:dyDescent="0.2">
      <c r="B96" s="2"/>
      <c r="C96" s="2"/>
      <c r="D96" s="3">
        <v>0</v>
      </c>
      <c r="E96" s="38"/>
      <c r="F96" s="11">
        <f t="shared" si="6"/>
        <v>0</v>
      </c>
    </row>
    <row r="97" spans="2:11" x14ac:dyDescent="0.2">
      <c r="B97" s="2" t="s">
        <v>69</v>
      </c>
      <c r="C97" s="2"/>
      <c r="D97" s="3">
        <v>0</v>
      </c>
      <c r="E97" s="38"/>
      <c r="F97" s="11">
        <f t="shared" si="6"/>
        <v>0</v>
      </c>
    </row>
    <row r="98" spans="2:11" x14ac:dyDescent="0.2">
      <c r="B98" s="2" t="s">
        <v>70</v>
      </c>
      <c r="C98" s="2"/>
      <c r="D98" s="9">
        <v>251.78899999999999</v>
      </c>
      <c r="E98" s="38"/>
      <c r="F98" s="11">
        <f t="shared" si="6"/>
        <v>251.78899999999999</v>
      </c>
      <c r="G98" s="11">
        <f>F98</f>
        <v>251.78899999999999</v>
      </c>
      <c r="H98" s="11">
        <f t="shared" ref="H98:K100" si="7">G98</f>
        <v>251.78899999999999</v>
      </c>
      <c r="I98" s="11">
        <f t="shared" si="7"/>
        <v>251.78899999999999</v>
      </c>
      <c r="J98" s="11">
        <f t="shared" si="7"/>
        <v>251.78899999999999</v>
      </c>
      <c r="K98" s="11">
        <f t="shared" si="7"/>
        <v>251.78899999999999</v>
      </c>
    </row>
    <row r="99" spans="2:11" x14ac:dyDescent="0.2">
      <c r="B99" s="2" t="s">
        <v>71</v>
      </c>
      <c r="C99" s="2"/>
      <c r="D99" s="9">
        <v>1400.3510000000001</v>
      </c>
      <c r="E99" s="38"/>
      <c r="F99" s="11">
        <f t="shared" si="6"/>
        <v>1400.3510000000001</v>
      </c>
      <c r="G99" s="11">
        <f>F99</f>
        <v>1400.3510000000001</v>
      </c>
      <c r="H99" s="11">
        <f t="shared" si="7"/>
        <v>1400.3510000000001</v>
      </c>
      <c r="I99" s="11">
        <f t="shared" si="7"/>
        <v>1400.3510000000001</v>
      </c>
      <c r="J99" s="11">
        <f t="shared" si="7"/>
        <v>1400.3510000000001</v>
      </c>
      <c r="K99" s="11">
        <f t="shared" si="7"/>
        <v>1400.3510000000001</v>
      </c>
    </row>
    <row r="100" spans="2:11" x14ac:dyDescent="0.2">
      <c r="B100" s="2" t="s">
        <v>72</v>
      </c>
      <c r="C100" s="2"/>
      <c r="D100" s="9">
        <v>215.53399999999999</v>
      </c>
      <c r="E100" s="38"/>
      <c r="F100" s="11">
        <f t="shared" si="6"/>
        <v>215.53399999999999</v>
      </c>
      <c r="G100" s="11">
        <f>F100</f>
        <v>215.53399999999999</v>
      </c>
      <c r="H100" s="11">
        <f t="shared" si="7"/>
        <v>215.53399999999999</v>
      </c>
      <c r="I100" s="11">
        <f t="shared" si="7"/>
        <v>215.53399999999999</v>
      </c>
      <c r="J100" s="11">
        <f t="shared" si="7"/>
        <v>215.53399999999999</v>
      </c>
      <c r="K100" s="11">
        <f t="shared" si="7"/>
        <v>215.53399999999999</v>
      </c>
    </row>
    <row r="101" spans="2:11" x14ac:dyDescent="0.2">
      <c r="B101" s="2" t="s">
        <v>73</v>
      </c>
      <c r="C101" s="2"/>
      <c r="D101" s="9"/>
      <c r="E101" s="39">
        <f>N88</f>
        <v>2865.4842555822775</v>
      </c>
      <c r="F101" s="11">
        <f>SUM(D101:E101)</f>
        <v>2865.4842555822775</v>
      </c>
      <c r="G101" s="11">
        <f>F101</f>
        <v>2865.4842555822775</v>
      </c>
      <c r="H101" s="11">
        <f>G101</f>
        <v>2865.4842555822775</v>
      </c>
      <c r="I101" s="11">
        <f>H101</f>
        <v>2865.4842555822775</v>
      </c>
      <c r="J101" s="11">
        <f>I101</f>
        <v>2865.4842555822775</v>
      </c>
      <c r="K101" s="11">
        <f>J101</f>
        <v>2865.4842555822775</v>
      </c>
    </row>
    <row r="102" spans="2:11" x14ac:dyDescent="0.2">
      <c r="B102" s="2" t="s">
        <v>74</v>
      </c>
      <c r="C102" s="2"/>
      <c r="D102" s="9"/>
      <c r="E102" s="39">
        <f>H30</f>
        <v>55.152378833734168</v>
      </c>
      <c r="F102" s="11">
        <f>SUM(D102:E102)</f>
        <v>55.152378833734168</v>
      </c>
      <c r="G102" s="11">
        <f>F102+G67</f>
        <v>47.273467571772144</v>
      </c>
      <c r="H102" s="11">
        <f>G102+H67</f>
        <v>39.39455630981012</v>
      </c>
      <c r="I102" s="11">
        <f>H102+I67</f>
        <v>31.515645047848096</v>
      </c>
      <c r="J102" s="11">
        <f>I102+J67</f>
        <v>23.636733785886072</v>
      </c>
      <c r="K102" s="11">
        <f>J102+K67</f>
        <v>15.757822523924048</v>
      </c>
    </row>
    <row r="103" spans="2:11" x14ac:dyDescent="0.2">
      <c r="B103" s="2" t="s">
        <v>75</v>
      </c>
      <c r="C103" s="2"/>
      <c r="D103" s="9">
        <v>1867.674</v>
      </c>
      <c r="E103" s="38"/>
      <c r="F103" s="11">
        <f t="shared" ref="F103:K103" si="8">SUM(F97:F102)</f>
        <v>4788.3106344160115</v>
      </c>
      <c r="G103" s="11">
        <f t="shared" si="8"/>
        <v>4780.431723154049</v>
      </c>
      <c r="H103" s="11">
        <f t="shared" si="8"/>
        <v>4772.5528118920874</v>
      </c>
      <c r="I103" s="11">
        <f t="shared" si="8"/>
        <v>4764.673900630125</v>
      </c>
      <c r="J103" s="11">
        <f t="shared" si="8"/>
        <v>4756.7949893681634</v>
      </c>
      <c r="K103" s="11">
        <f t="shared" si="8"/>
        <v>4748.916078106201</v>
      </c>
    </row>
    <row r="104" spans="2:11" x14ac:dyDescent="0.2">
      <c r="B104" s="2"/>
      <c r="C104" s="2"/>
      <c r="D104" s="3">
        <v>0</v>
      </c>
      <c r="E104" s="38"/>
    </row>
    <row r="105" spans="2:11" x14ac:dyDescent="0.2">
      <c r="B105" s="2" t="s">
        <v>76</v>
      </c>
      <c r="C105" s="2"/>
      <c r="D105" s="4">
        <v>3041.76</v>
      </c>
      <c r="E105" s="38"/>
      <c r="F105" s="30">
        <f t="shared" ref="F105:K105" si="9">F103+F93+F95</f>
        <v>5928.2206344160113</v>
      </c>
      <c r="G105" s="5">
        <f t="shared" ca="1" si="9"/>
        <v>5991.2498799960995</v>
      </c>
      <c r="H105" s="5">
        <f t="shared" ca="1" si="9"/>
        <v>6057.1813773059375</v>
      </c>
      <c r="I105" s="5">
        <f t="shared" ca="1" si="9"/>
        <v>6126.1339026648038</v>
      </c>
      <c r="J105" s="5">
        <f t="shared" ca="1" si="9"/>
        <v>6198.2310921614408</v>
      </c>
      <c r="K105" s="5">
        <f t="shared" ca="1" si="9"/>
        <v>6273.6016028380336</v>
      </c>
    </row>
    <row r="106" spans="2:11" x14ac:dyDescent="0.2">
      <c r="B106" s="2"/>
      <c r="C106" s="2"/>
      <c r="D106" s="3">
        <v>0</v>
      </c>
      <c r="E106" s="38"/>
      <c r="G106" s="30"/>
    </row>
    <row r="107" spans="2:11" ht="15" x14ac:dyDescent="0.25">
      <c r="B107" s="20" t="s">
        <v>77</v>
      </c>
      <c r="C107" s="20"/>
      <c r="D107" s="3">
        <v>0</v>
      </c>
      <c r="E107" s="38"/>
    </row>
    <row r="108" spans="2:11" x14ac:dyDescent="0.2">
      <c r="B108" s="2" t="s">
        <v>78</v>
      </c>
      <c r="C108" s="2"/>
      <c r="D108" s="3">
        <v>0</v>
      </c>
      <c r="E108" s="38"/>
    </row>
    <row r="109" spans="2:11" x14ac:dyDescent="0.2">
      <c r="B109" s="2" t="s">
        <v>79</v>
      </c>
      <c r="C109" s="2"/>
      <c r="D109" s="4">
        <v>62.091999999999999</v>
      </c>
      <c r="E109" s="38"/>
      <c r="F109" s="11">
        <f>SUM(D109:E109)</f>
        <v>62.091999999999999</v>
      </c>
      <c r="G109" s="48">
        <f>G153</f>
        <v>63.945677580058366</v>
      </c>
      <c r="H109" s="48">
        <f>H153</f>
        <v>65.84785803134632</v>
      </c>
      <c r="I109" s="48">
        <f>I153</f>
        <v>67.799383530813401</v>
      </c>
      <c r="J109" s="48">
        <f>J153</f>
        <v>69.801082990708522</v>
      </c>
      <c r="K109" s="48">
        <f>K153</f>
        <v>71.853769522383828</v>
      </c>
    </row>
    <row r="110" spans="2:11" x14ac:dyDescent="0.2">
      <c r="B110" s="2" t="s">
        <v>80</v>
      </c>
      <c r="C110" s="2"/>
      <c r="D110" s="9">
        <v>226.81</v>
      </c>
      <c r="E110" s="38"/>
      <c r="F110" s="11">
        <f>SUM(D110:E110)</f>
        <v>226.81</v>
      </c>
      <c r="G110" s="49">
        <f>G155</f>
        <v>236.18678343644416</v>
      </c>
      <c r="H110" s="49">
        <f>H155</f>
        <v>245.95122203630251</v>
      </c>
      <c r="I110" s="49">
        <f>I155</f>
        <v>256.11934224688935</v>
      </c>
      <c r="J110" s="49">
        <f>J155</f>
        <v>266.70783308121594</v>
      </c>
      <c r="K110" s="49">
        <f>K155</f>
        <v>277.73407350979431</v>
      </c>
    </row>
    <row r="111" spans="2:11" x14ac:dyDescent="0.2">
      <c r="B111" s="2" t="s">
        <v>81</v>
      </c>
      <c r="C111" s="2"/>
      <c r="D111" s="9">
        <v>157.13800000000001</v>
      </c>
      <c r="E111" s="38"/>
      <c r="F111" s="11">
        <f>SUM(D111:E111)</f>
        <v>157.13800000000001</v>
      </c>
      <c r="G111" s="11">
        <f>F111</f>
        <v>157.13800000000001</v>
      </c>
      <c r="H111" s="11">
        <f>G111</f>
        <v>157.13800000000001</v>
      </c>
      <c r="I111" s="11">
        <f>H111</f>
        <v>157.13800000000001</v>
      </c>
      <c r="J111" s="11">
        <f>I111</f>
        <v>157.13800000000001</v>
      </c>
      <c r="K111" s="11">
        <f>J111</f>
        <v>157.13800000000001</v>
      </c>
    </row>
    <row r="112" spans="2:11" x14ac:dyDescent="0.2">
      <c r="B112" s="2" t="s">
        <v>82</v>
      </c>
      <c r="C112" s="2"/>
      <c r="D112" s="9">
        <v>265.38</v>
      </c>
      <c r="E112" s="38"/>
      <c r="F112" s="11">
        <f>SUM(D112:E112)</f>
        <v>265.38</v>
      </c>
      <c r="G112" s="48">
        <f>G157</f>
        <v>276.35134512747919</v>
      </c>
      <c r="H112" s="48">
        <f>H157</f>
        <v>287.77626781885266</v>
      </c>
      <c r="I112" s="48">
        <f>I157</f>
        <v>299.67351988659897</v>
      </c>
      <c r="J112" s="48">
        <f>J157</f>
        <v>312.06262838099332</v>
      </c>
      <c r="K112" s="48">
        <f>K157</f>
        <v>324.96392764000365</v>
      </c>
    </row>
    <row r="113" spans="2:11" x14ac:dyDescent="0.2">
      <c r="B113" s="2" t="s">
        <v>83</v>
      </c>
      <c r="C113" s="2"/>
      <c r="D113" s="9">
        <v>711.42</v>
      </c>
      <c r="E113" s="38"/>
      <c r="F113" s="11">
        <f t="shared" ref="F113:K113" si="10">SUM(F109:F112)</f>
        <v>711.42</v>
      </c>
      <c r="G113" s="11">
        <f t="shared" si="10"/>
        <v>733.62180614398176</v>
      </c>
      <c r="H113" s="11">
        <f t="shared" si="10"/>
        <v>756.71334788650142</v>
      </c>
      <c r="I113" s="11">
        <f t="shared" si="10"/>
        <v>780.73024566430172</v>
      </c>
      <c r="J113" s="11">
        <f t="shared" si="10"/>
        <v>805.70954445291773</v>
      </c>
      <c r="K113" s="11">
        <f t="shared" si="10"/>
        <v>831.68977067218179</v>
      </c>
    </row>
    <row r="114" spans="2:11" x14ac:dyDescent="0.2">
      <c r="B114" s="2"/>
      <c r="C114" s="2"/>
      <c r="D114" s="3">
        <v>0</v>
      </c>
      <c r="E114" s="38"/>
    </row>
    <row r="115" spans="2:11" x14ac:dyDescent="0.2">
      <c r="B115" s="2" t="s">
        <v>84</v>
      </c>
      <c r="C115" s="2"/>
      <c r="D115" s="9">
        <v>452.06200000000001</v>
      </c>
      <c r="E115" s="40">
        <f>-D115</f>
        <v>-452.06200000000001</v>
      </c>
      <c r="F115" s="11">
        <f>SUM(D115:E115)</f>
        <v>0</v>
      </c>
    </row>
    <row r="116" spans="2:11" x14ac:dyDescent="0.2">
      <c r="B116" s="2" t="s">
        <v>85</v>
      </c>
      <c r="C116" s="2"/>
      <c r="D116" s="9"/>
      <c r="E116" s="40"/>
      <c r="F116" s="1">
        <v>0</v>
      </c>
      <c r="G116" s="5">
        <f ca="1">G202</f>
        <v>0</v>
      </c>
      <c r="H116" s="5">
        <f ca="1">H202</f>
        <v>0</v>
      </c>
      <c r="I116" s="5">
        <f ca="1">I202</f>
        <v>0</v>
      </c>
      <c r="J116" s="5">
        <f ca="1">J202</f>
        <v>0</v>
      </c>
      <c r="K116" s="5">
        <f ca="1">K202</f>
        <v>0</v>
      </c>
    </row>
    <row r="117" spans="2:11" x14ac:dyDescent="0.2">
      <c r="B117" s="2" t="s">
        <v>8</v>
      </c>
      <c r="C117" s="2"/>
      <c r="D117" s="9"/>
      <c r="E117" s="40">
        <f>C28</f>
        <v>970.01399999999956</v>
      </c>
      <c r="F117" s="11">
        <f>SUM(D117:E117)</f>
        <v>970.01399999999956</v>
      </c>
      <c r="G117" s="48">
        <f ca="1">G210</f>
        <v>946.63864607441064</v>
      </c>
      <c r="H117" s="48">
        <f ca="1">H210</f>
        <v>883.78315284151142</v>
      </c>
      <c r="I117" s="48">
        <f ca="1">I210</f>
        <v>775.51374528781184</v>
      </c>
      <c r="J117" s="48">
        <f ca="1">J210</f>
        <v>615.25949000457649</v>
      </c>
      <c r="K117" s="48">
        <f ca="1">K210</f>
        <v>395.75278733801326</v>
      </c>
    </row>
    <row r="118" spans="2:11" x14ac:dyDescent="0.2">
      <c r="B118" s="2" t="s">
        <v>10</v>
      </c>
      <c r="C118" s="2"/>
      <c r="D118" s="9"/>
      <c r="E118" s="40">
        <f>C29</f>
        <v>485.00699999999978</v>
      </c>
      <c r="F118" s="11">
        <f>SUM(D118:E118)</f>
        <v>485.00699999999978</v>
      </c>
      <c r="G118" s="48">
        <f ca="1">G218</f>
        <v>485.00699999999978</v>
      </c>
      <c r="H118" s="48">
        <f ca="1">H218</f>
        <v>485.00699999999978</v>
      </c>
      <c r="I118" s="48">
        <f ca="1">I218</f>
        <v>485.00699999999978</v>
      </c>
      <c r="J118" s="48">
        <f ca="1">J218</f>
        <v>485.00699999999978</v>
      </c>
      <c r="K118" s="48">
        <f ca="1">K218</f>
        <v>485.00699999999978</v>
      </c>
    </row>
    <row r="119" spans="2:11" x14ac:dyDescent="0.2">
      <c r="B119" s="2" t="s">
        <v>12</v>
      </c>
      <c r="C119" s="2"/>
      <c r="D119" s="9"/>
      <c r="E119" s="40">
        <f>C30</f>
        <v>323.33799999999985</v>
      </c>
      <c r="F119" s="11">
        <f>SUM(D119:E119)</f>
        <v>323.33799999999985</v>
      </c>
      <c r="G119" s="48">
        <f ca="1">G227</f>
        <v>355.67179999999985</v>
      </c>
      <c r="H119" s="48">
        <f ca="1">H227</f>
        <v>391.23897999999986</v>
      </c>
      <c r="I119" s="48">
        <f ca="1">I227</f>
        <v>430.36287799999985</v>
      </c>
      <c r="J119" s="48">
        <f ca="1">J227</f>
        <v>473.39916579999982</v>
      </c>
      <c r="K119" s="48">
        <f ca="1">K227</f>
        <v>520.73908237999979</v>
      </c>
    </row>
    <row r="120" spans="2:11" x14ac:dyDescent="0.2">
      <c r="B120" s="2" t="s">
        <v>81</v>
      </c>
      <c r="C120" s="2"/>
      <c r="D120" s="9">
        <v>1299.02</v>
      </c>
      <c r="E120" s="38"/>
      <c r="F120" s="11">
        <f t="shared" ref="F120:F131" si="11">SUM(D120:E120)</f>
        <v>1299.02</v>
      </c>
      <c r="G120" s="11">
        <f>F120</f>
        <v>1299.02</v>
      </c>
      <c r="H120" s="11">
        <f t="shared" ref="H120:K121" si="12">G120</f>
        <v>1299.02</v>
      </c>
      <c r="I120" s="11">
        <f t="shared" si="12"/>
        <v>1299.02</v>
      </c>
      <c r="J120" s="11">
        <f t="shared" si="12"/>
        <v>1299.02</v>
      </c>
      <c r="K120" s="11">
        <f t="shared" si="12"/>
        <v>1299.02</v>
      </c>
    </row>
    <row r="121" spans="2:11" x14ac:dyDescent="0.2">
      <c r="B121" s="2" t="s">
        <v>86</v>
      </c>
      <c r="C121" s="2"/>
      <c r="D121" s="9">
        <v>135.803</v>
      </c>
      <c r="E121" s="38"/>
      <c r="F121" s="11">
        <f t="shared" si="11"/>
        <v>135.803</v>
      </c>
      <c r="G121" s="11">
        <f>F121</f>
        <v>135.803</v>
      </c>
      <c r="H121" s="11">
        <f t="shared" si="12"/>
        <v>135.803</v>
      </c>
      <c r="I121" s="11">
        <f t="shared" si="12"/>
        <v>135.803</v>
      </c>
      <c r="J121" s="11">
        <f t="shared" si="12"/>
        <v>135.803</v>
      </c>
      <c r="K121" s="11">
        <f t="shared" si="12"/>
        <v>135.803</v>
      </c>
    </row>
    <row r="122" spans="2:11" x14ac:dyDescent="0.2">
      <c r="B122" s="2" t="s">
        <v>87</v>
      </c>
      <c r="C122" s="2"/>
      <c r="D122" s="9">
        <v>2598.3049999999998</v>
      </c>
      <c r="E122" s="38"/>
      <c r="F122" s="11">
        <f t="shared" ref="F122:K122" si="13">SUM(F115:F121)+F113</f>
        <v>3924.601999999999</v>
      </c>
      <c r="G122" s="11">
        <f t="shared" ca="1" si="13"/>
        <v>3955.762252218392</v>
      </c>
      <c r="H122" s="11">
        <f t="shared" ca="1" si="13"/>
        <v>3951.5654807280125</v>
      </c>
      <c r="I122" s="11">
        <f t="shared" ca="1" si="13"/>
        <v>3906.4368689521134</v>
      </c>
      <c r="J122" s="11">
        <f t="shared" ca="1" si="13"/>
        <v>3814.1982002574937</v>
      </c>
      <c r="K122" s="11">
        <f t="shared" ca="1" si="13"/>
        <v>3668.0116403901948</v>
      </c>
    </row>
    <row r="123" spans="2:11" x14ac:dyDescent="0.2">
      <c r="B123" s="2" t="s">
        <v>88</v>
      </c>
      <c r="C123" s="2"/>
      <c r="D123" s="3">
        <v>0</v>
      </c>
      <c r="E123" s="38"/>
      <c r="F123" s="11">
        <f t="shared" si="11"/>
        <v>0</v>
      </c>
    </row>
    <row r="124" spans="2:11" x14ac:dyDescent="0.2">
      <c r="B124" s="2" t="s">
        <v>89</v>
      </c>
      <c r="C124" s="2"/>
      <c r="D124" s="3">
        <v>0</v>
      </c>
      <c r="E124" s="38"/>
      <c r="F124" s="11">
        <f t="shared" si="11"/>
        <v>0</v>
      </c>
    </row>
    <row r="125" spans="2:11" x14ac:dyDescent="0.2">
      <c r="B125" s="2" t="s">
        <v>90</v>
      </c>
      <c r="C125" s="2"/>
      <c r="D125" s="9">
        <v>0</v>
      </c>
      <c r="E125" s="38"/>
      <c r="F125" s="11">
        <f t="shared" si="11"/>
        <v>0</v>
      </c>
    </row>
    <row r="126" spans="2:11" x14ac:dyDescent="0.2">
      <c r="B126" s="2" t="s">
        <v>91</v>
      </c>
      <c r="C126" s="2"/>
      <c r="D126" s="9">
        <v>1.0840000000000001</v>
      </c>
      <c r="E126" s="40">
        <f>-D126</f>
        <v>-1.0840000000000001</v>
      </c>
      <c r="F126" s="11">
        <f t="shared" si="11"/>
        <v>0</v>
      </c>
    </row>
    <row r="127" spans="2:11" x14ac:dyDescent="0.2">
      <c r="B127" s="2" t="s">
        <v>92</v>
      </c>
      <c r="C127" s="2"/>
      <c r="D127" s="9"/>
      <c r="E127" s="39">
        <f>C32</f>
        <v>2003.6186344160128</v>
      </c>
      <c r="F127" s="11">
        <f t="shared" si="11"/>
        <v>2003.6186344160128</v>
      </c>
      <c r="G127" s="50">
        <f>F127</f>
        <v>2003.6186344160128</v>
      </c>
      <c r="H127" s="50">
        <f>G127</f>
        <v>2003.6186344160128</v>
      </c>
      <c r="I127" s="50">
        <f>H127</f>
        <v>2003.6186344160128</v>
      </c>
      <c r="J127" s="50">
        <f>I127</f>
        <v>2003.6186344160128</v>
      </c>
      <c r="K127" s="50">
        <f>J127</f>
        <v>2003.6186344160128</v>
      </c>
    </row>
    <row r="128" spans="2:11" x14ac:dyDescent="0.2">
      <c r="B128" s="2" t="s">
        <v>93</v>
      </c>
      <c r="C128" s="2"/>
      <c r="D128" s="9">
        <v>956.10699999999997</v>
      </c>
      <c r="E128" s="40">
        <f>-D128</f>
        <v>-956.10699999999997</v>
      </c>
      <c r="F128" s="11">
        <f t="shared" si="11"/>
        <v>0</v>
      </c>
    </row>
    <row r="129" spans="1:11" x14ac:dyDescent="0.2">
      <c r="B129" s="2" t="s">
        <v>94</v>
      </c>
      <c r="C129" s="2"/>
      <c r="D129" s="9">
        <v>1317.828</v>
      </c>
      <c r="E129" s="40">
        <f>-D129</f>
        <v>-1317.828</v>
      </c>
      <c r="F129" s="11">
        <f t="shared" si="11"/>
        <v>0</v>
      </c>
      <c r="G129" s="10">
        <f ca="1">G71</f>
        <v>31.868993361696401</v>
      </c>
      <c r="H129" s="10">
        <f ca="1">G129+H71</f>
        <v>101.99726216195828</v>
      </c>
      <c r="I129" s="10">
        <f ca="1">H129+I71</f>
        <v>216.07839930434417</v>
      </c>
      <c r="J129" s="10">
        <f ca="1">I129+J71</f>
        <v>380.41425819544338</v>
      </c>
      <c r="K129" s="10">
        <f ca="1">J129+K71</f>
        <v>601.97136672751014</v>
      </c>
    </row>
    <row r="130" spans="1:11" x14ac:dyDescent="0.2">
      <c r="B130" s="2" t="s">
        <v>95</v>
      </c>
      <c r="C130" s="2"/>
      <c r="D130" s="9">
        <v>-1829.953</v>
      </c>
      <c r="E130" s="40">
        <f>-D130</f>
        <v>1829.953</v>
      </c>
      <c r="F130" s="11">
        <f t="shared" si="11"/>
        <v>0</v>
      </c>
    </row>
    <row r="131" spans="1:11" x14ac:dyDescent="0.2">
      <c r="B131" s="2" t="s">
        <v>96</v>
      </c>
      <c r="C131" s="2"/>
      <c r="D131" s="9">
        <v>-1.611</v>
      </c>
      <c r="E131" s="40">
        <f>-D131</f>
        <v>1.611</v>
      </c>
      <c r="F131" s="11">
        <f t="shared" si="11"/>
        <v>0</v>
      </c>
    </row>
    <row r="132" spans="1:11" x14ac:dyDescent="0.2">
      <c r="B132" s="2" t="s">
        <v>97</v>
      </c>
      <c r="C132" s="2"/>
      <c r="D132" s="9">
        <v>443.45499999999998</v>
      </c>
      <c r="E132" s="38"/>
      <c r="F132" s="11">
        <f t="shared" ref="F132:K132" si="14">SUM(F125:F131)</f>
        <v>2003.6186344160128</v>
      </c>
      <c r="G132" s="11">
        <f t="shared" ca="1" si="14"/>
        <v>2035.4876277777091</v>
      </c>
      <c r="H132" s="11">
        <f t="shared" ca="1" si="14"/>
        <v>2105.6158965779709</v>
      </c>
      <c r="I132" s="11">
        <f t="shared" ca="1" si="14"/>
        <v>2219.697033720357</v>
      </c>
      <c r="J132" s="11">
        <f t="shared" ca="1" si="14"/>
        <v>2384.0328926114562</v>
      </c>
      <c r="K132" s="11">
        <f t="shared" ca="1" si="14"/>
        <v>2605.5900011435228</v>
      </c>
    </row>
    <row r="133" spans="1:11" x14ac:dyDescent="0.2">
      <c r="B133" s="2"/>
      <c r="C133" s="2"/>
      <c r="D133" s="3">
        <v>0</v>
      </c>
      <c r="E133" s="38"/>
    </row>
    <row r="134" spans="1:11" x14ac:dyDescent="0.2">
      <c r="B134" s="2" t="s">
        <v>98</v>
      </c>
      <c r="C134" s="2"/>
      <c r="D134" s="4">
        <v>3041.76</v>
      </c>
      <c r="E134" s="38"/>
      <c r="F134" s="11">
        <f t="shared" ref="F134:K134" si="15">F132+F122</f>
        <v>5928.2206344160113</v>
      </c>
      <c r="G134" s="11">
        <f t="shared" ca="1" si="15"/>
        <v>5991.2498799961013</v>
      </c>
      <c r="H134" s="11">
        <f t="shared" ca="1" si="15"/>
        <v>6057.1813773059839</v>
      </c>
      <c r="I134" s="11">
        <f t="shared" ca="1" si="15"/>
        <v>6126.1339026724709</v>
      </c>
      <c r="J134" s="11">
        <f t="shared" ca="1" si="15"/>
        <v>6198.2310928689494</v>
      </c>
      <c r="K134" s="11">
        <f t="shared" ca="1" si="15"/>
        <v>6273.6016415337181</v>
      </c>
    </row>
    <row r="136" spans="1:11" x14ac:dyDescent="0.2">
      <c r="B136" s="1" t="s">
        <v>106</v>
      </c>
      <c r="D136" s="47">
        <f>D134-D105</f>
        <v>0</v>
      </c>
      <c r="E136" s="47">
        <f t="shared" ref="E136:J136" si="16">E134-E105</f>
        <v>0</v>
      </c>
      <c r="F136" s="47">
        <f t="shared" si="16"/>
        <v>0</v>
      </c>
      <c r="G136" s="47">
        <f ca="1">G134-G105</f>
        <v>0</v>
      </c>
      <c r="H136" s="47">
        <f t="shared" ca="1" si="16"/>
        <v>4.638422979041934E-11</v>
      </c>
      <c r="I136" s="47">
        <f t="shared" ca="1" si="16"/>
        <v>7.667040335945785E-9</v>
      </c>
      <c r="J136" s="47">
        <f t="shared" ca="1" si="16"/>
        <v>7.075086614349857E-7</v>
      </c>
      <c r="K136" s="47">
        <f ca="1">K134-K105</f>
        <v>3.8695684452250134E-5</v>
      </c>
    </row>
    <row r="137" spans="1:11" x14ac:dyDescent="0.2">
      <c r="H137" s="30"/>
    </row>
    <row r="139" spans="1:11" ht="15" x14ac:dyDescent="0.25">
      <c r="A139" s="1" t="s">
        <v>0</v>
      </c>
      <c r="B139" s="96" t="s">
        <v>107</v>
      </c>
      <c r="C139" s="96"/>
      <c r="D139" s="96"/>
      <c r="E139" s="96"/>
      <c r="F139" s="96"/>
      <c r="G139" s="96"/>
      <c r="H139" s="96"/>
      <c r="I139" s="96"/>
      <c r="J139" s="96"/>
      <c r="K139" s="96"/>
    </row>
    <row r="140" spans="1:11" ht="15" x14ac:dyDescent="0.25">
      <c r="B140" s="88"/>
      <c r="C140" s="88"/>
      <c r="D140" s="88"/>
      <c r="E140" s="88"/>
      <c r="F140" s="88"/>
      <c r="G140" s="85">
        <v>2025</v>
      </c>
      <c r="H140" s="85">
        <f>G140+1</f>
        <v>2026</v>
      </c>
      <c r="I140" s="85">
        <f>H140+1</f>
        <v>2027</v>
      </c>
      <c r="J140" s="85">
        <f>I140+1</f>
        <v>2028</v>
      </c>
      <c r="K140" s="85">
        <f>J140+1</f>
        <v>2029</v>
      </c>
    </row>
    <row r="142" spans="1:11" x14ac:dyDescent="0.2">
      <c r="B142" s="2" t="s">
        <v>63</v>
      </c>
      <c r="F142" s="11">
        <f>F89</f>
        <v>112.503</v>
      </c>
      <c r="G142" s="47">
        <f>G143*G$40/365</f>
        <v>117.15410121665832</v>
      </c>
      <c r="H142" s="47">
        <f>H143*H$40/365</f>
        <v>121.997488350382</v>
      </c>
      <c r="I142" s="47">
        <f>I143*I$40/365</f>
        <v>127.04111088929851</v>
      </c>
      <c r="J142" s="47">
        <f>J143*J$40/365</f>
        <v>132.29324696942831</v>
      </c>
      <c r="K142" s="47">
        <f>K143*K$40/365</f>
        <v>137.76251696165244</v>
      </c>
    </row>
    <row r="143" spans="1:11" x14ac:dyDescent="0.2">
      <c r="B143" s="2" t="s">
        <v>108</v>
      </c>
      <c r="F143" s="30">
        <f>F142/F40*365</f>
        <v>11.46483693911744</v>
      </c>
      <c r="G143" s="46">
        <f>F143</f>
        <v>11.46483693911744</v>
      </c>
      <c r="H143" s="46">
        <f>G143</f>
        <v>11.46483693911744</v>
      </c>
      <c r="I143" s="46">
        <f>H143</f>
        <v>11.46483693911744</v>
      </c>
      <c r="J143" s="46">
        <f>I143</f>
        <v>11.46483693911744</v>
      </c>
      <c r="K143" s="46">
        <f>J143</f>
        <v>11.46483693911744</v>
      </c>
    </row>
    <row r="144" spans="1:11" x14ac:dyDescent="0.2">
      <c r="B144" s="2" t="s">
        <v>64</v>
      </c>
      <c r="F144" s="11">
        <f>F90</f>
        <v>17.417000000000002</v>
      </c>
      <c r="G144" s="30">
        <f>G145*G40</f>
        <v>18.137053953143813</v>
      </c>
      <c r="H144" s="30">
        <f>H145*H40</f>
        <v>18.886876390839387</v>
      </c>
      <c r="I144" s="30">
        <f>I145*I40</f>
        <v>19.667698002354715</v>
      </c>
      <c r="J144" s="30">
        <f>J145*J40</f>
        <v>20.480800356137465</v>
      </c>
      <c r="K144" s="30">
        <f>K145*K40</f>
        <v>21.32751800326303</v>
      </c>
    </row>
    <row r="145" spans="2:11" x14ac:dyDescent="0.2">
      <c r="B145" s="2" t="s">
        <v>40</v>
      </c>
      <c r="F145" s="44">
        <f>F144/F$40</f>
        <v>4.8627760177502354E-3</v>
      </c>
      <c r="G145" s="41">
        <f>F145</f>
        <v>4.8627760177502354E-3</v>
      </c>
      <c r="H145" s="41">
        <f>G145</f>
        <v>4.8627760177502354E-3</v>
      </c>
      <c r="I145" s="41">
        <f>H145</f>
        <v>4.8627760177502354E-3</v>
      </c>
      <c r="J145" s="41">
        <f>I145</f>
        <v>4.8627760177502354E-3</v>
      </c>
      <c r="K145" s="41">
        <f>J145</f>
        <v>4.8627760177502354E-3</v>
      </c>
    </row>
    <row r="146" spans="2:11" x14ac:dyDescent="0.2">
      <c r="B146" s="2" t="s">
        <v>65</v>
      </c>
      <c r="F146" s="11">
        <f>F91</f>
        <v>64.525999999999996</v>
      </c>
      <c r="G146" s="47">
        <f>G147*G$62/365</f>
        <v>66.4523415501328</v>
      </c>
      <c r="H146" s="47">
        <f>H147*H$62/365</f>
        <v>68.429087279048062</v>
      </c>
      <c r="I146" s="47">
        <f>I147*I$62/365</f>
        <v>70.45711237694492</v>
      </c>
      <c r="J146" s="47">
        <f>J147*J$62/365</f>
        <v>72.537278249347068</v>
      </c>
      <c r="K146" s="47">
        <f>K147*K$62/365</f>
        <v>74.670429881487763</v>
      </c>
    </row>
    <row r="147" spans="2:11" x14ac:dyDescent="0.2">
      <c r="B147" s="2" t="s">
        <v>109</v>
      </c>
      <c r="F147" s="11">
        <f>F146/F62*365</f>
        <v>6.920172346213266</v>
      </c>
      <c r="G147" s="46">
        <f>F147</f>
        <v>6.920172346213266</v>
      </c>
      <c r="H147" s="46">
        <f>G147</f>
        <v>6.920172346213266</v>
      </c>
      <c r="I147" s="46">
        <f>H147</f>
        <v>6.920172346213266</v>
      </c>
      <c r="J147" s="46">
        <f>I147</f>
        <v>6.920172346213266</v>
      </c>
      <c r="K147" s="46">
        <f>J147</f>
        <v>6.920172346213266</v>
      </c>
    </row>
    <row r="148" spans="2:11" x14ac:dyDescent="0.2">
      <c r="B148" s="2" t="s">
        <v>66</v>
      </c>
      <c r="F148" s="11">
        <f>F92</f>
        <v>54.691000000000003</v>
      </c>
      <c r="G148" s="30">
        <f>G149*G$40</f>
        <v>56.952036386943114</v>
      </c>
      <c r="H148" s="30">
        <f>H149*H$40</f>
        <v>59.306548584222135</v>
      </c>
      <c r="I148" s="30">
        <f>I149*I$40</f>
        <v>61.758401070608116</v>
      </c>
      <c r="J148" s="30">
        <f>J149*J$40</f>
        <v>64.311618090228748</v>
      </c>
      <c r="K148" s="30">
        <f>K149*K$40</f>
        <v>66.970390257590765</v>
      </c>
    </row>
    <row r="149" spans="2:11" x14ac:dyDescent="0.2">
      <c r="B149" s="2" t="s">
        <v>40</v>
      </c>
      <c r="F149" s="44">
        <f>F148/F$40</f>
        <v>1.5269568995049556E-2</v>
      </c>
      <c r="G149" s="41">
        <f>F149</f>
        <v>1.5269568995049556E-2</v>
      </c>
      <c r="H149" s="41">
        <f>G149</f>
        <v>1.5269568995049556E-2</v>
      </c>
      <c r="I149" s="41">
        <f>H149</f>
        <v>1.5269568995049556E-2</v>
      </c>
      <c r="J149" s="41">
        <f>I149</f>
        <v>1.5269568995049556E-2</v>
      </c>
      <c r="K149" s="41">
        <f>J149</f>
        <v>1.5269568995049556E-2</v>
      </c>
    </row>
    <row r="151" spans="2:11" x14ac:dyDescent="0.2">
      <c r="B151" s="1" t="s">
        <v>111</v>
      </c>
      <c r="F151" s="11">
        <f t="shared" ref="F151:K151" si="17">SUM(F142,F144,F146,F148)</f>
        <v>249.13700000000003</v>
      </c>
      <c r="G151" s="11">
        <f t="shared" si="17"/>
        <v>258.69553310687803</v>
      </c>
      <c r="H151" s="11">
        <f t="shared" si="17"/>
        <v>268.62000060449157</v>
      </c>
      <c r="I151" s="11">
        <f t="shared" si="17"/>
        <v>278.92432233920624</v>
      </c>
      <c r="J151" s="11">
        <f t="shared" si="17"/>
        <v>289.62294366514163</v>
      </c>
      <c r="K151" s="11">
        <f t="shared" si="17"/>
        <v>300.73085510399403</v>
      </c>
    </row>
    <row r="153" spans="2:11" x14ac:dyDescent="0.2">
      <c r="B153" s="2" t="s">
        <v>79</v>
      </c>
      <c r="F153" s="11">
        <f>F109</f>
        <v>62.091999999999999</v>
      </c>
      <c r="G153" s="47">
        <f>G154*G$62/365</f>
        <v>63.945677580058366</v>
      </c>
      <c r="H153" s="47">
        <f>H154*H$62/365</f>
        <v>65.84785803134632</v>
      </c>
      <c r="I153" s="47">
        <f>I154*I$62/365</f>
        <v>67.799383530813401</v>
      </c>
      <c r="J153" s="47">
        <f>J154*J$62/365</f>
        <v>69.801082990708522</v>
      </c>
      <c r="K153" s="47">
        <f>K154*K$62/365</f>
        <v>71.853769522383828</v>
      </c>
    </row>
    <row r="154" spans="2:11" x14ac:dyDescent="0.2">
      <c r="B154" s="2" t="s">
        <v>110</v>
      </c>
      <c r="F154" s="11">
        <f>F153/F62*365</f>
        <v>6.6591349428303968</v>
      </c>
      <c r="G154" s="46">
        <f>F154</f>
        <v>6.6591349428303968</v>
      </c>
      <c r="H154" s="46">
        <f>G154</f>
        <v>6.6591349428303968</v>
      </c>
      <c r="I154" s="46">
        <f>H154</f>
        <v>6.6591349428303968</v>
      </c>
      <c r="J154" s="46">
        <f>I154</f>
        <v>6.6591349428303968</v>
      </c>
      <c r="K154" s="46">
        <f>J154</f>
        <v>6.6591349428303968</v>
      </c>
    </row>
    <row r="155" spans="2:11" x14ac:dyDescent="0.2">
      <c r="B155" s="2" t="s">
        <v>80</v>
      </c>
      <c r="F155" s="11">
        <f>F110</f>
        <v>226.81</v>
      </c>
      <c r="G155" s="30">
        <f>G156*G$40</f>
        <v>236.18678343644416</v>
      </c>
      <c r="H155" s="30">
        <f>H156*H$40</f>
        <v>245.95122203630251</v>
      </c>
      <c r="I155" s="30">
        <f>I156*I$40</f>
        <v>256.11934224688935</v>
      </c>
      <c r="J155" s="30">
        <f>J156*J$40</f>
        <v>266.70783308121594</v>
      </c>
      <c r="K155" s="30">
        <f>K156*K$40</f>
        <v>277.73407350979431</v>
      </c>
    </row>
    <row r="156" spans="2:11" x14ac:dyDescent="0.2">
      <c r="B156" s="2" t="s">
        <v>40</v>
      </c>
      <c r="F156" s="44">
        <f>F155/F$40</f>
        <v>6.3324695905490655E-2</v>
      </c>
      <c r="G156" s="41">
        <f>F156</f>
        <v>6.3324695905490655E-2</v>
      </c>
      <c r="H156" s="41">
        <f t="shared" ref="H156:K158" si="18">G156</f>
        <v>6.3324695905490655E-2</v>
      </c>
      <c r="I156" s="41">
        <f t="shared" si="18"/>
        <v>6.3324695905490655E-2</v>
      </c>
      <c r="J156" s="41">
        <f t="shared" si="18"/>
        <v>6.3324695905490655E-2</v>
      </c>
      <c r="K156" s="41">
        <f t="shared" si="18"/>
        <v>6.3324695905490655E-2</v>
      </c>
    </row>
    <row r="157" spans="2:11" x14ac:dyDescent="0.2">
      <c r="B157" s="2" t="s">
        <v>82</v>
      </c>
      <c r="F157" s="11">
        <f>F112</f>
        <v>265.38</v>
      </c>
      <c r="G157" s="30">
        <f>G158*G$40</f>
        <v>276.35134512747919</v>
      </c>
      <c r="H157" s="30">
        <f>H158*H$40</f>
        <v>287.77626781885266</v>
      </c>
      <c r="I157" s="30">
        <f>I158*I$40</f>
        <v>299.67351988659897</v>
      </c>
      <c r="J157" s="30">
        <f>J158*J$40</f>
        <v>312.06262838099332</v>
      </c>
      <c r="K157" s="30">
        <f>K158*K$40</f>
        <v>324.96392764000365</v>
      </c>
    </row>
    <row r="158" spans="2:11" x14ac:dyDescent="0.2">
      <c r="B158" s="2" t="s">
        <v>40</v>
      </c>
      <c r="F158" s="44">
        <f>F157/F$40</f>
        <v>7.40933283338438E-2</v>
      </c>
      <c r="G158" s="41">
        <f>F158</f>
        <v>7.40933283338438E-2</v>
      </c>
      <c r="H158" s="41">
        <f t="shared" si="18"/>
        <v>7.40933283338438E-2</v>
      </c>
      <c r="I158" s="41">
        <f t="shared" si="18"/>
        <v>7.40933283338438E-2</v>
      </c>
      <c r="J158" s="41">
        <f t="shared" si="18"/>
        <v>7.40933283338438E-2</v>
      </c>
      <c r="K158" s="41">
        <f t="shared" si="18"/>
        <v>7.40933283338438E-2</v>
      </c>
    </row>
    <row r="160" spans="2:11" x14ac:dyDescent="0.2">
      <c r="B160" s="1" t="s">
        <v>112</v>
      </c>
      <c r="F160" s="11">
        <f t="shared" ref="F160:K160" si="19">SUM(F153,F155,F157)</f>
        <v>554.28199999999993</v>
      </c>
      <c r="G160" s="11">
        <f t="shared" si="19"/>
        <v>576.48380614398172</v>
      </c>
      <c r="H160" s="11">
        <f t="shared" si="19"/>
        <v>599.5753478865015</v>
      </c>
      <c r="I160" s="11">
        <f t="shared" si="19"/>
        <v>623.5922456643018</v>
      </c>
      <c r="J160" s="11">
        <f t="shared" si="19"/>
        <v>648.57154445291781</v>
      </c>
      <c r="K160" s="11">
        <f t="shared" si="19"/>
        <v>674.55177067218187</v>
      </c>
    </row>
    <row r="162" spans="1:11" x14ac:dyDescent="0.2">
      <c r="B162" s="1" t="s">
        <v>114</v>
      </c>
      <c r="F162" s="11">
        <f t="shared" ref="F162:K162" si="20">F151-F160</f>
        <v>-305.14499999999987</v>
      </c>
      <c r="G162" s="11">
        <f t="shared" si="20"/>
        <v>-317.78827303710369</v>
      </c>
      <c r="H162" s="11">
        <f t="shared" si="20"/>
        <v>-330.95534728200994</v>
      </c>
      <c r="I162" s="11">
        <f t="shared" si="20"/>
        <v>-344.66792332509556</v>
      </c>
      <c r="J162" s="11">
        <f t="shared" si="20"/>
        <v>-358.94860078777617</v>
      </c>
      <c r="K162" s="11">
        <f t="shared" si="20"/>
        <v>-373.82091556818784</v>
      </c>
    </row>
    <row r="163" spans="1:11" x14ac:dyDescent="0.2">
      <c r="B163" s="1" t="s">
        <v>113</v>
      </c>
      <c r="G163" s="11">
        <f>F162-G162</f>
        <v>12.643273037103825</v>
      </c>
      <c r="H163" s="11">
        <f>G162-H162</f>
        <v>13.167074244906246</v>
      </c>
      <c r="I163" s="11">
        <f>H162-I162</f>
        <v>13.712576043085619</v>
      </c>
      <c r="J163" s="11">
        <f>I162-J162</f>
        <v>14.280677462680615</v>
      </c>
      <c r="K163" s="11">
        <f>J162-K162</f>
        <v>14.872314780411671</v>
      </c>
    </row>
    <row r="166" spans="1:11" ht="15" x14ac:dyDescent="0.25">
      <c r="A166" s="1" t="s">
        <v>0</v>
      </c>
      <c r="B166" s="96" t="s">
        <v>115</v>
      </c>
      <c r="C166" s="96"/>
      <c r="D166" s="96"/>
      <c r="E166" s="96"/>
      <c r="F166" s="96"/>
      <c r="G166" s="96"/>
      <c r="H166" s="96"/>
      <c r="I166" s="96"/>
      <c r="J166" s="96"/>
      <c r="K166" s="96"/>
    </row>
    <row r="167" spans="1:11" ht="15" x14ac:dyDescent="0.25">
      <c r="B167" s="88"/>
      <c r="C167" s="88"/>
      <c r="D167" s="88"/>
      <c r="E167" s="88"/>
      <c r="F167" s="88"/>
      <c r="G167" s="85">
        <v>2025</v>
      </c>
      <c r="H167" s="85">
        <f>G167+1</f>
        <v>2026</v>
      </c>
      <c r="I167" s="85">
        <f>H167+1</f>
        <v>2027</v>
      </c>
      <c r="J167" s="85">
        <f>I167+1</f>
        <v>2028</v>
      </c>
      <c r="K167" s="85">
        <f>J167+1</f>
        <v>2029</v>
      </c>
    </row>
    <row r="168" spans="1:11" x14ac:dyDescent="0.2">
      <c r="B168" s="1" t="s">
        <v>116</v>
      </c>
      <c r="G168" s="10">
        <f ca="1">G71</f>
        <v>31.868993361696401</v>
      </c>
      <c r="H168" s="10">
        <f ca="1">H71</f>
        <v>70.128268800261878</v>
      </c>
      <c r="I168" s="10">
        <f ca="1">I71</f>
        <v>114.0811371423859</v>
      </c>
      <c r="J168" s="10">
        <f ca="1">J71</f>
        <v>164.33585889109924</v>
      </c>
      <c r="K168" s="10">
        <f ca="1">K71</f>
        <v>221.55710853206676</v>
      </c>
    </row>
    <row r="169" spans="1:11" x14ac:dyDescent="0.2">
      <c r="B169" s="1" t="s">
        <v>117</v>
      </c>
      <c r="G169" s="5">
        <f>G55</f>
        <v>105.64414787543434</v>
      </c>
      <c r="H169" s="5">
        <f>H55</f>
        <v>110.01169029400332</v>
      </c>
      <c r="I169" s="5">
        <f>I55</f>
        <v>114.55979573628557</v>
      </c>
      <c r="J169" s="5">
        <f>J55</f>
        <v>119.29592904232335</v>
      </c>
      <c r="K169" s="5">
        <f>K55</f>
        <v>124.22786366372132</v>
      </c>
    </row>
    <row r="170" spans="1:11" x14ac:dyDescent="0.2">
      <c r="B170" s="1" t="s">
        <v>118</v>
      </c>
      <c r="G170" s="11">
        <f>-G67</f>
        <v>7.8789112619620241</v>
      </c>
      <c r="H170" s="11">
        <f>-H67</f>
        <v>7.8789112619620241</v>
      </c>
      <c r="I170" s="11">
        <f>-I67</f>
        <v>7.8789112619620241</v>
      </c>
      <c r="J170" s="11">
        <f>-J67</f>
        <v>7.8789112619620241</v>
      </c>
      <c r="K170" s="11">
        <f>-K67</f>
        <v>7.8789112619620241</v>
      </c>
    </row>
    <row r="171" spans="1:11" x14ac:dyDescent="0.2">
      <c r="B171" s="1" t="s">
        <v>119</v>
      </c>
      <c r="G171" s="5">
        <f>G225</f>
        <v>32.333799999999989</v>
      </c>
      <c r="H171" s="5">
        <f ca="1">H225</f>
        <v>35.567179999999986</v>
      </c>
      <c r="I171" s="5">
        <f ca="1">I225</f>
        <v>39.12389799999999</v>
      </c>
      <c r="J171" s="5">
        <f ca="1">J225</f>
        <v>43.03628779999999</v>
      </c>
      <c r="K171" s="5">
        <f ca="1">K225</f>
        <v>47.339916579999986</v>
      </c>
    </row>
    <row r="172" spans="1:11" x14ac:dyDescent="0.2">
      <c r="B172" s="1" t="s">
        <v>120</v>
      </c>
      <c r="G172" s="11">
        <f>G163</f>
        <v>12.643273037103825</v>
      </c>
      <c r="H172" s="11">
        <f>H163</f>
        <v>13.167074244906246</v>
      </c>
      <c r="I172" s="11">
        <f>I163</f>
        <v>13.712576043085619</v>
      </c>
      <c r="J172" s="11">
        <f>J163</f>
        <v>14.280677462680615</v>
      </c>
      <c r="K172" s="11">
        <f>K163</f>
        <v>14.872314780411671</v>
      </c>
    </row>
    <row r="173" spans="1:11" ht="15" x14ac:dyDescent="0.25">
      <c r="B173" s="35" t="s">
        <v>121</v>
      </c>
      <c r="C173" s="35"/>
      <c r="D173" s="35"/>
      <c r="E173" s="35"/>
      <c r="F173" s="35"/>
      <c r="G173" s="52">
        <f ca="1">SUM(G168:G172)</f>
        <v>190.36912553619661</v>
      </c>
      <c r="H173" s="52">
        <f ca="1">SUM(H168:H172)</f>
        <v>236.75312460113344</v>
      </c>
      <c r="I173" s="52">
        <f ca="1">SUM(I168:I172)</f>
        <v>289.35631818371911</v>
      </c>
      <c r="J173" s="52">
        <f ca="1">SUM(J168:J172)</f>
        <v>348.82766445806516</v>
      </c>
      <c r="K173" s="52">
        <f ca="1">SUM(K168:K172)</f>
        <v>415.87611481816174</v>
      </c>
    </row>
    <row r="175" spans="1:11" x14ac:dyDescent="0.2">
      <c r="B175" s="1" t="s">
        <v>122</v>
      </c>
      <c r="G175" s="5">
        <f>G77</f>
        <v>-166.99377161060769</v>
      </c>
      <c r="H175" s="5">
        <f>H77</f>
        <v>-173.89763136823606</v>
      </c>
      <c r="I175" s="5">
        <f>I77</f>
        <v>-181.08691063039623</v>
      </c>
      <c r="J175" s="5">
        <f>J77</f>
        <v>-188.57340921580229</v>
      </c>
      <c r="K175" s="5">
        <f>K77</f>
        <v>-196.36941477150327</v>
      </c>
    </row>
    <row r="176" spans="1:11" ht="15" x14ac:dyDescent="0.25">
      <c r="B176" s="35" t="s">
        <v>123</v>
      </c>
      <c r="C176" s="35"/>
      <c r="D176" s="35"/>
      <c r="E176" s="35"/>
      <c r="F176" s="35"/>
      <c r="G176" s="52">
        <f>SUM(G175)</f>
        <v>-166.99377161060769</v>
      </c>
      <c r="H176" s="52">
        <f>SUM(H175)</f>
        <v>-173.89763136823606</v>
      </c>
      <c r="I176" s="52">
        <f>SUM(I175)</f>
        <v>-181.08691063039623</v>
      </c>
      <c r="J176" s="52">
        <f>SUM(J175)</f>
        <v>-188.57340921580229</v>
      </c>
      <c r="K176" s="52">
        <f>SUM(K175)</f>
        <v>-196.36941477150327</v>
      </c>
    </row>
    <row r="178" spans="1:13" x14ac:dyDescent="0.2">
      <c r="B178" s="1" t="s">
        <v>132</v>
      </c>
      <c r="G178" s="11">
        <f ca="1">G173+G176</f>
        <v>23.375353925588911</v>
      </c>
      <c r="H178" s="11">
        <f ca="1">H173+H176</f>
        <v>62.855493232897373</v>
      </c>
      <c r="I178" s="11">
        <f ca="1">I173+I176</f>
        <v>108.26940755332288</v>
      </c>
      <c r="J178" s="11">
        <f ca="1">J173+J176</f>
        <v>160.25425524226287</v>
      </c>
      <c r="K178" s="11">
        <f ca="1">K173+K176</f>
        <v>219.50670004665847</v>
      </c>
    </row>
    <row r="180" spans="1:13" x14ac:dyDescent="0.2">
      <c r="B180" s="1" t="s">
        <v>124</v>
      </c>
      <c r="G180" s="5">
        <f ca="1">G201</f>
        <v>0</v>
      </c>
      <c r="H180" s="5">
        <f ca="1">H201</f>
        <v>0</v>
      </c>
      <c r="I180" s="5">
        <f ca="1">I201</f>
        <v>0</v>
      </c>
      <c r="J180" s="5">
        <f ca="1">J201</f>
        <v>0</v>
      </c>
      <c r="K180" s="5">
        <f ca="1">K201</f>
        <v>0</v>
      </c>
    </row>
    <row r="181" spans="1:13" x14ac:dyDescent="0.2">
      <c r="B181" s="1" t="s">
        <v>125</v>
      </c>
      <c r="G181" s="5">
        <f ca="1">G209</f>
        <v>-23.375353925588911</v>
      </c>
      <c r="H181" s="5">
        <f ca="1">H209</f>
        <v>-62.855493232899107</v>
      </c>
      <c r="I181" s="5">
        <f ca="1">I209</f>
        <v>-108.2694075536518</v>
      </c>
      <c r="J181" s="5">
        <f ca="1">J209</f>
        <v>-160.25425527514903</v>
      </c>
      <c r="K181" s="5">
        <f ca="1">K209</f>
        <v>-219.50670191395204</v>
      </c>
    </row>
    <row r="182" spans="1:13" x14ac:dyDescent="0.2">
      <c r="B182" s="1" t="s">
        <v>126</v>
      </c>
      <c r="G182" s="5">
        <f ca="1">G217</f>
        <v>0</v>
      </c>
      <c r="H182" s="5">
        <f ca="1">H217</f>
        <v>0</v>
      </c>
      <c r="I182" s="5">
        <f ca="1">I217</f>
        <v>0</v>
      </c>
      <c r="J182" s="5">
        <f ca="1">J217</f>
        <v>0</v>
      </c>
      <c r="K182" s="5">
        <f ca="1">K217</f>
        <v>0</v>
      </c>
    </row>
    <row r="183" spans="1:13" x14ac:dyDescent="0.2">
      <c r="B183" s="1" t="s">
        <v>127</v>
      </c>
      <c r="G183" s="5">
        <f ca="1">G226</f>
        <v>0</v>
      </c>
      <c r="H183" s="5">
        <f ca="1">H226</f>
        <v>0</v>
      </c>
      <c r="I183" s="5">
        <f ca="1">I226</f>
        <v>0</v>
      </c>
      <c r="J183" s="5">
        <f ca="1">J226</f>
        <v>0</v>
      </c>
      <c r="K183" s="5">
        <f ca="1">K226</f>
        <v>0</v>
      </c>
    </row>
    <row r="184" spans="1:13" x14ac:dyDescent="0.2">
      <c r="B184" s="36" t="s">
        <v>128</v>
      </c>
      <c r="C184" s="36"/>
      <c r="D184" s="36"/>
      <c r="E184" s="36"/>
      <c r="F184" s="36"/>
      <c r="G184" s="54">
        <f ca="1">SUM(G180:G183)</f>
        <v>-23.375353925588911</v>
      </c>
      <c r="H184" s="54">
        <f ca="1">SUM(H180:H183)</f>
        <v>-62.855493232899107</v>
      </c>
      <c r="I184" s="54">
        <f ca="1">SUM(I180:I183)</f>
        <v>-108.2694075536518</v>
      </c>
      <c r="J184" s="54">
        <f ca="1">SUM(J180:J183)</f>
        <v>-160.25425527514903</v>
      </c>
      <c r="K184" s="54">
        <f ca="1">SUM(K180:K183)</f>
        <v>-219.50670191395204</v>
      </c>
    </row>
    <row r="186" spans="1:13" x14ac:dyDescent="0.2">
      <c r="B186" s="1" t="s">
        <v>129</v>
      </c>
      <c r="G186" s="10">
        <f>F188</f>
        <v>50</v>
      </c>
      <c r="H186" s="10">
        <f ca="1">G188</f>
        <v>49.999999999999886</v>
      </c>
      <c r="I186" s="10">
        <f ca="1">H188</f>
        <v>49.99999999995245</v>
      </c>
      <c r="J186" s="10">
        <f ca="1">I188</f>
        <v>49.999999991955775</v>
      </c>
      <c r="K186" s="10">
        <f ca="1">J188</f>
        <v>49.999999251139513</v>
      </c>
    </row>
    <row r="187" spans="1:13" ht="15" x14ac:dyDescent="0.25">
      <c r="B187" s="1" t="s">
        <v>130</v>
      </c>
      <c r="G187" s="11">
        <f ca="1">G178+G184</f>
        <v>0</v>
      </c>
      <c r="H187" s="11">
        <f ca="1">H178+H184</f>
        <v>-1.7337242752546445E-12</v>
      </c>
      <c r="I187" s="11">
        <f ca="1">I178+I184</f>
        <v>-3.2892444323806558E-10</v>
      </c>
      <c r="J187" s="11">
        <f ca="1">J178+J184</f>
        <v>-3.2886163126022439E-8</v>
      </c>
      <c r="K187" s="11">
        <f ca="1">K178+K184</f>
        <v>-1.8672935766517185E-6</v>
      </c>
      <c r="M187"/>
    </row>
    <row r="188" spans="1:13" x14ac:dyDescent="0.2">
      <c r="B188" s="1" t="s">
        <v>131</v>
      </c>
      <c r="F188" s="10">
        <f>F88</f>
        <v>50</v>
      </c>
      <c r="G188" s="10">
        <f ca="1">SUM(G186:G187)</f>
        <v>50</v>
      </c>
      <c r="H188" s="10">
        <f ca="1">SUM(H186:H187)</f>
        <v>49.999999999998153</v>
      </c>
      <c r="I188" s="10">
        <f ca="1">SUM(I186:I187)</f>
        <v>49.999999999623526</v>
      </c>
      <c r="J188" s="10">
        <f ca="1">SUM(J186:J187)</f>
        <v>49.999999959069612</v>
      </c>
      <c r="K188" s="10">
        <f ca="1">SUM(K186:K187)</f>
        <v>49.999997383845937</v>
      </c>
    </row>
    <row r="190" spans="1:13" ht="15" x14ac:dyDescent="0.25">
      <c r="A190" s="1" t="s">
        <v>0</v>
      </c>
      <c r="B190" s="96" t="s">
        <v>133</v>
      </c>
      <c r="C190" s="96"/>
      <c r="D190" s="96"/>
      <c r="E190" s="96"/>
      <c r="F190" s="96"/>
      <c r="G190" s="96"/>
      <c r="H190" s="96"/>
      <c r="I190" s="96"/>
      <c r="J190" s="96"/>
      <c r="K190" s="96"/>
    </row>
    <row r="191" spans="1:13" ht="15" x14ac:dyDescent="0.25">
      <c r="B191" s="88"/>
      <c r="C191" s="88"/>
      <c r="D191" s="88"/>
      <c r="E191" s="88"/>
      <c r="F191" s="88"/>
      <c r="G191" s="85">
        <v>2025</v>
      </c>
      <c r="H191" s="85">
        <f>G191+1</f>
        <v>2026</v>
      </c>
      <c r="I191" s="85">
        <f>H191+1</f>
        <v>2027</v>
      </c>
      <c r="J191" s="85">
        <f>I191+1</f>
        <v>2028</v>
      </c>
      <c r="K191" s="85">
        <f>J191+1</f>
        <v>2029</v>
      </c>
    </row>
    <row r="193" spans="2:11" x14ac:dyDescent="0.2">
      <c r="B193" s="1" t="s">
        <v>134</v>
      </c>
      <c r="G193" s="11">
        <f ca="1">G178</f>
        <v>23.375353925588911</v>
      </c>
      <c r="H193" s="11">
        <f ca="1">H178</f>
        <v>62.855493232897373</v>
      </c>
      <c r="I193" s="11">
        <f ca="1">I178</f>
        <v>108.26940755332288</v>
      </c>
      <c r="J193" s="11">
        <f ca="1">J178</f>
        <v>160.25425524226287</v>
      </c>
      <c r="K193" s="11">
        <f ca="1">K178</f>
        <v>219.50670004665847</v>
      </c>
    </row>
    <row r="194" spans="2:11" x14ac:dyDescent="0.2">
      <c r="B194" s="1" t="s">
        <v>129</v>
      </c>
      <c r="G194" s="10">
        <f>G186</f>
        <v>50</v>
      </c>
      <c r="H194" s="10">
        <f ca="1">H186</f>
        <v>49.999999999999886</v>
      </c>
      <c r="I194" s="10">
        <f ca="1">I186</f>
        <v>49.99999999995245</v>
      </c>
      <c r="J194" s="10">
        <f ca="1">J186</f>
        <v>49.999999991955775</v>
      </c>
      <c r="K194" s="10">
        <f ca="1">K186</f>
        <v>49.999999251139513</v>
      </c>
    </row>
    <row r="195" spans="2:11" x14ac:dyDescent="0.2">
      <c r="B195" s="1" t="s">
        <v>135</v>
      </c>
      <c r="G195" s="1">
        <f>-D12</f>
        <v>-50</v>
      </c>
      <c r="H195" s="1">
        <f>G195</f>
        <v>-50</v>
      </c>
      <c r="I195" s="1">
        <f>H195</f>
        <v>-50</v>
      </c>
      <c r="J195" s="1">
        <f>I195</f>
        <v>-50</v>
      </c>
      <c r="K195" s="1">
        <f>J195</f>
        <v>-50</v>
      </c>
    </row>
    <row r="196" spans="2:11" x14ac:dyDescent="0.2">
      <c r="B196" s="36" t="s">
        <v>136</v>
      </c>
      <c r="C196" s="36"/>
      <c r="D196" s="36"/>
      <c r="E196" s="36"/>
      <c r="F196" s="36"/>
      <c r="G196" s="51">
        <f ca="1">SUM(G193:G195)</f>
        <v>23.375353925588911</v>
      </c>
      <c r="H196" s="51">
        <f ca="1">SUM(H193:H195)</f>
        <v>62.85549323289726</v>
      </c>
      <c r="I196" s="51">
        <f ca="1">SUM(I193:I195)</f>
        <v>108.26940755327533</v>
      </c>
      <c r="J196" s="51">
        <f ca="1">SUM(J193:J195)</f>
        <v>160.25425523421865</v>
      </c>
      <c r="K196" s="51">
        <f ca="1">SUM(K193:K195)</f>
        <v>219.50669929779798</v>
      </c>
    </row>
    <row r="199" spans="2:11" ht="15" x14ac:dyDescent="0.25">
      <c r="B199" s="66" t="s">
        <v>137</v>
      </c>
      <c r="C199" s="67">
        <f>I10</f>
        <v>9.5000000000000001E-2</v>
      </c>
      <c r="D199" s="68"/>
      <c r="E199" s="68"/>
      <c r="F199" s="68"/>
      <c r="G199" s="68"/>
      <c r="H199" s="68"/>
      <c r="I199" s="68"/>
      <c r="J199" s="68"/>
      <c r="K199" s="68"/>
    </row>
    <row r="200" spans="2:11" x14ac:dyDescent="0.2">
      <c r="B200" s="1" t="s">
        <v>138</v>
      </c>
      <c r="G200" s="47">
        <v>0</v>
      </c>
      <c r="H200" s="47">
        <f ca="1">G202</f>
        <v>0</v>
      </c>
      <c r="I200" s="47">
        <f ca="1">H202</f>
        <v>0</v>
      </c>
      <c r="J200" s="47">
        <f ca="1">I202</f>
        <v>0</v>
      </c>
      <c r="K200" s="47">
        <f ca="1">J202</f>
        <v>0</v>
      </c>
    </row>
    <row r="201" spans="2:11" x14ac:dyDescent="0.2">
      <c r="B201" s="1" t="s">
        <v>139</v>
      </c>
      <c r="C201" s="1">
        <v>1</v>
      </c>
      <c r="D201" s="1" t="s">
        <v>142</v>
      </c>
      <c r="G201" s="47">
        <f ca="1">IF($C$201=1,-MIN(G200,G196),0)</f>
        <v>0</v>
      </c>
      <c r="H201" s="47">
        <f ca="1">IF($C$201=1,-MIN(H200,H196),0)</f>
        <v>0</v>
      </c>
      <c r="I201" s="47">
        <f ca="1">IF($C$201=1,-MIN(I200,I196),0)</f>
        <v>0</v>
      </c>
      <c r="J201" s="47">
        <f ca="1">IF($C$201=1,-MIN(J200,J196),0)</f>
        <v>0</v>
      </c>
      <c r="K201" s="47">
        <f ca="1">IF($C$201=1,-MIN(K200,K196),0)</f>
        <v>0</v>
      </c>
    </row>
    <row r="202" spans="2:11" x14ac:dyDescent="0.2">
      <c r="B202" s="1" t="s">
        <v>140</v>
      </c>
      <c r="G202" s="47">
        <f ca="1">SUM(G200:G201)</f>
        <v>0</v>
      </c>
      <c r="H202" s="47">
        <f ca="1">SUM(H200:H201)</f>
        <v>0</v>
      </c>
      <c r="I202" s="47">
        <f ca="1">SUM(I200:I201)</f>
        <v>0</v>
      </c>
      <c r="J202" s="47">
        <f ca="1">SUM(J200:J201)</f>
        <v>0</v>
      </c>
      <c r="K202" s="47">
        <f ca="1">SUM(K200:K201)</f>
        <v>0</v>
      </c>
    </row>
    <row r="203" spans="2:11" x14ac:dyDescent="0.2">
      <c r="B203" s="1" t="s">
        <v>141</v>
      </c>
      <c r="G203" s="47">
        <f ca="1">AVERAGE(G200,G202)*-$C$199</f>
        <v>0</v>
      </c>
      <c r="H203" s="47">
        <f ca="1">AVERAGE(H200,H202)*-$C$199</f>
        <v>0</v>
      </c>
      <c r="I203" s="47">
        <f ca="1">AVERAGE(I200,I202)*-$C$199</f>
        <v>0</v>
      </c>
      <c r="J203" s="47">
        <f ca="1">AVERAGE(J200,J202)*-$C$199</f>
        <v>0</v>
      </c>
      <c r="K203" s="47">
        <f ca="1">AVERAGE(K200,K202)*-$C$199</f>
        <v>0</v>
      </c>
    </row>
    <row r="205" spans="2:11" x14ac:dyDescent="0.2">
      <c r="B205" s="1" t="s">
        <v>143</v>
      </c>
      <c r="G205" s="11">
        <f ca="1">G196+G201</f>
        <v>23.375353925588911</v>
      </c>
      <c r="H205" s="11">
        <f ca="1">H196+H201</f>
        <v>62.85549323289726</v>
      </c>
      <c r="I205" s="11">
        <f ca="1">I196+I201</f>
        <v>108.26940755327533</v>
      </c>
      <c r="J205" s="11">
        <f ca="1">J196+J201</f>
        <v>160.25425523421865</v>
      </c>
      <c r="K205" s="11">
        <f ca="1">K196+K201</f>
        <v>219.50669929779798</v>
      </c>
    </row>
    <row r="207" spans="2:11" ht="15" x14ac:dyDescent="0.25">
      <c r="B207" s="66" t="s">
        <v>144</v>
      </c>
      <c r="C207" s="67">
        <f>I11</f>
        <v>0.1</v>
      </c>
      <c r="D207" s="68"/>
      <c r="E207" s="68"/>
      <c r="F207" s="68"/>
      <c r="G207" s="68"/>
      <c r="H207" s="68"/>
      <c r="I207" s="68"/>
      <c r="J207" s="68"/>
      <c r="K207" s="68"/>
    </row>
    <row r="208" spans="2:11" x14ac:dyDescent="0.2">
      <c r="B208" s="1" t="s">
        <v>138</v>
      </c>
      <c r="G208" s="47">
        <f>F117</f>
        <v>970.01399999999956</v>
      </c>
      <c r="H208" s="47">
        <f ca="1">G210</f>
        <v>946.63864607441064</v>
      </c>
      <c r="I208" s="47">
        <f ca="1">H210</f>
        <v>883.78315284151142</v>
      </c>
      <c r="J208" s="47">
        <f ca="1">I210</f>
        <v>775.51374528781184</v>
      </c>
      <c r="K208" s="47">
        <f ca="1">J210</f>
        <v>615.25949000457649</v>
      </c>
    </row>
    <row r="209" spans="2:11" x14ac:dyDescent="0.2">
      <c r="B209" s="1" t="s">
        <v>139</v>
      </c>
      <c r="C209" s="1">
        <v>1</v>
      </c>
      <c r="D209" s="1" t="s">
        <v>142</v>
      </c>
      <c r="G209" s="47">
        <f ca="1">IF($C$209=1,-MIN(G208,G205),0)</f>
        <v>-23.375353925588911</v>
      </c>
      <c r="H209" s="47">
        <f ca="1">IF($C$209=1,-MIN(H208,H205),0)</f>
        <v>-62.85549323289726</v>
      </c>
      <c r="I209" s="47">
        <f ca="1">IF($C$209=1,-MIN(I208,I205),0)</f>
        <v>-108.26940755327533</v>
      </c>
      <c r="J209" s="47">
        <f ca="1">IF($C$209=1,-MIN(J208,J205),0)</f>
        <v>-160.25425523421865</v>
      </c>
      <c r="K209" s="47">
        <f ca="1">IF($C$209=1,-MIN(K208,K205),0)</f>
        <v>-219.50669929779798</v>
      </c>
    </row>
    <row r="210" spans="2:11" x14ac:dyDescent="0.2">
      <c r="B210" s="1" t="s">
        <v>140</v>
      </c>
      <c r="G210" s="47">
        <f ca="1">SUM(G208:G209)</f>
        <v>946.63864607441064</v>
      </c>
      <c r="H210" s="47">
        <f ca="1">SUM(H208:H209)</f>
        <v>883.78315284151336</v>
      </c>
      <c r="I210" s="47">
        <f ca="1">SUM(I208:I209)</f>
        <v>775.51374528823612</v>
      </c>
      <c r="J210" s="47">
        <f ca="1">SUM(J208:J209)</f>
        <v>615.25949005359325</v>
      </c>
      <c r="K210" s="47">
        <f ca="1">SUM(K208:K209)</f>
        <v>395.75279070677851</v>
      </c>
    </row>
    <row r="211" spans="2:11" x14ac:dyDescent="0.2">
      <c r="B211" s="1" t="s">
        <v>141</v>
      </c>
      <c r="G211" s="47">
        <f ca="1">AVERAGE(G208,G210)*-$C$207</f>
        <v>-95.832632303720516</v>
      </c>
      <c r="H211" s="47">
        <f ca="1">AVERAGE(H208,H210)*-$C$207</f>
        <v>-91.521089945796206</v>
      </c>
      <c r="I211" s="47">
        <f ca="1">AVERAGE(I208,I210)*-$C$207</f>
        <v>-82.964844906487386</v>
      </c>
      <c r="J211" s="47">
        <f ca="1">AVERAGE(J208,J210)*-$C$207</f>
        <v>-69.538661767070252</v>
      </c>
      <c r="K211" s="47">
        <f ca="1">AVERAGE(K208,K210)*-$C$207</f>
        <v>-50.550614035567754</v>
      </c>
    </row>
    <row r="213" spans="2:11" x14ac:dyDescent="0.2">
      <c r="B213" s="1" t="s">
        <v>145</v>
      </c>
      <c r="G213" s="11">
        <f ca="1">G205+G209</f>
        <v>0</v>
      </c>
      <c r="H213" s="11">
        <f ca="1">H205+H209</f>
        <v>0</v>
      </c>
      <c r="I213" s="11">
        <f ca="1">I205+I209</f>
        <v>0</v>
      </c>
      <c r="J213" s="11">
        <f ca="1">J205+J209</f>
        <v>0</v>
      </c>
      <c r="K213" s="11">
        <f ca="1">K205+K209</f>
        <v>0</v>
      </c>
    </row>
    <row r="215" spans="2:11" ht="15" x14ac:dyDescent="0.25">
      <c r="B215" s="66" t="s">
        <v>10</v>
      </c>
      <c r="C215" s="67">
        <f>I12</f>
        <v>0.1</v>
      </c>
      <c r="D215" s="68"/>
      <c r="E215" s="68"/>
      <c r="F215" s="68"/>
      <c r="G215" s="68"/>
      <c r="H215" s="68"/>
      <c r="I215" s="68"/>
      <c r="J215" s="68"/>
      <c r="K215" s="68"/>
    </row>
    <row r="216" spans="2:11" x14ac:dyDescent="0.2">
      <c r="B216" s="1" t="s">
        <v>138</v>
      </c>
      <c r="G216" s="47">
        <f>F118</f>
        <v>485.00699999999978</v>
      </c>
      <c r="H216" s="47">
        <f ca="1">G218</f>
        <v>485.00699999999978</v>
      </c>
      <c r="I216" s="47">
        <f ca="1">H218</f>
        <v>485.00699999999978</v>
      </c>
      <c r="J216" s="47">
        <f ca="1">I218</f>
        <v>485.00699999999978</v>
      </c>
      <c r="K216" s="47">
        <f ca="1">J218</f>
        <v>485.00699999999978</v>
      </c>
    </row>
    <row r="217" spans="2:11" x14ac:dyDescent="0.2">
      <c r="B217" s="1" t="s">
        <v>139</v>
      </c>
      <c r="C217" s="1">
        <v>1</v>
      </c>
      <c r="D217" s="1" t="s">
        <v>142</v>
      </c>
      <c r="G217" s="47">
        <f ca="1">IF($C$209=1,-MIN(G216,G213),0)</f>
        <v>0</v>
      </c>
      <c r="H217" s="47">
        <f ca="1">IF($C$209=1,-MIN(H216,H213),0)</f>
        <v>0</v>
      </c>
      <c r="I217" s="47">
        <f ca="1">IF($C$209=1,-MIN(I216,I213),0)</f>
        <v>0</v>
      </c>
      <c r="J217" s="47">
        <f ca="1">IF($C$209=1,-MIN(J216,J213),0)</f>
        <v>0</v>
      </c>
      <c r="K217" s="47">
        <f ca="1">IF($C$209=1,-MIN(K216,K213),0)</f>
        <v>0</v>
      </c>
    </row>
    <row r="218" spans="2:11" x14ac:dyDescent="0.2">
      <c r="B218" s="1" t="s">
        <v>140</v>
      </c>
      <c r="G218" s="47">
        <f ca="1">SUM(G216:G217)</f>
        <v>485.00699999999978</v>
      </c>
      <c r="H218" s="47">
        <f ca="1">SUM(H216:H217)</f>
        <v>485.00699999999978</v>
      </c>
      <c r="I218" s="47">
        <f ca="1">SUM(I216:I217)</f>
        <v>485.00699999999978</v>
      </c>
      <c r="J218" s="47">
        <f ca="1">SUM(J216:J217)</f>
        <v>485.00699999999978</v>
      </c>
      <c r="K218" s="47">
        <f ca="1">SUM(K216:K217)</f>
        <v>485.00699999999978</v>
      </c>
    </row>
    <row r="219" spans="2:11" x14ac:dyDescent="0.2">
      <c r="B219" s="1" t="s">
        <v>141</v>
      </c>
      <c r="G219" s="47">
        <f ca="1">AVERAGE(G216,G218)*-$C$215</f>
        <v>-48.500699999999981</v>
      </c>
      <c r="H219" s="47">
        <f ca="1">AVERAGE(H216,H218)*-$C$215</f>
        <v>-48.500699999999981</v>
      </c>
      <c r="I219" s="47">
        <f ca="1">AVERAGE(I216,I218)*-$C$215</f>
        <v>-48.500699999999981</v>
      </c>
      <c r="J219" s="47">
        <f ca="1">AVERAGE(J216,J218)*-$C$215</f>
        <v>-48.500699999999981</v>
      </c>
      <c r="K219" s="47">
        <f ca="1">AVERAGE(K216,K218)*-$C$215</f>
        <v>-48.500699999999981</v>
      </c>
    </row>
    <row r="221" spans="2:11" x14ac:dyDescent="0.2">
      <c r="B221" s="1" t="s">
        <v>145</v>
      </c>
      <c r="G221" s="11">
        <f ca="1">G213+G217</f>
        <v>0</v>
      </c>
      <c r="H221" s="11">
        <f ca="1">H213+H217</f>
        <v>0</v>
      </c>
      <c r="I221" s="11">
        <f ca="1">I213+I217</f>
        <v>0</v>
      </c>
      <c r="J221" s="11">
        <f ca="1">J213+J217</f>
        <v>0</v>
      </c>
      <c r="K221" s="11">
        <f ca="1">K213+K217</f>
        <v>0</v>
      </c>
    </row>
    <row r="223" spans="2:11" ht="15" x14ac:dyDescent="0.25">
      <c r="B223" s="66" t="s">
        <v>12</v>
      </c>
      <c r="C223" s="67">
        <v>0</v>
      </c>
      <c r="D223" s="68"/>
      <c r="E223" s="68"/>
      <c r="F223" s="68"/>
      <c r="G223" s="68"/>
      <c r="H223" s="68"/>
      <c r="I223" s="68"/>
      <c r="J223" s="68"/>
      <c r="K223" s="68"/>
    </row>
    <row r="224" spans="2:11" x14ac:dyDescent="0.2">
      <c r="B224" s="1" t="s">
        <v>138</v>
      </c>
      <c r="G224" s="47">
        <f>F119</f>
        <v>323.33799999999985</v>
      </c>
      <c r="H224" s="47">
        <f ca="1">G227</f>
        <v>355.67179999999985</v>
      </c>
      <c r="I224" s="47">
        <f ca="1">H227</f>
        <v>391.23897999999986</v>
      </c>
      <c r="J224" s="47">
        <f ca="1">I227</f>
        <v>430.36287799999985</v>
      </c>
      <c r="K224" s="47">
        <f ca="1">J227</f>
        <v>473.39916579999982</v>
      </c>
    </row>
    <row r="225" spans="2:11" x14ac:dyDescent="0.2">
      <c r="B225" s="1" t="s">
        <v>146</v>
      </c>
      <c r="C225" s="45">
        <f>I13</f>
        <v>0.1</v>
      </c>
      <c r="G225" s="47">
        <f>$C$225*G224</f>
        <v>32.333799999999989</v>
      </c>
      <c r="H225" s="47">
        <f ca="1">$C$225*H224</f>
        <v>35.567179999999986</v>
      </c>
      <c r="I225" s="47">
        <f ca="1">$C$225*I224</f>
        <v>39.12389799999999</v>
      </c>
      <c r="J225" s="47">
        <f ca="1">$C$225*J224</f>
        <v>43.03628779999999</v>
      </c>
      <c r="K225" s="47">
        <f ca="1">$C$225*K224</f>
        <v>47.339916579999986</v>
      </c>
    </row>
    <row r="226" spans="2:11" x14ac:dyDescent="0.2">
      <c r="B226" s="1" t="s">
        <v>139</v>
      </c>
      <c r="C226" s="1">
        <v>1</v>
      </c>
      <c r="D226" s="1" t="s">
        <v>142</v>
      </c>
      <c r="G226" s="47">
        <f ca="1">IF($C$209=1,-MIN(SUM(G224,G225),G221),0)</f>
        <v>0</v>
      </c>
      <c r="H226" s="47">
        <f ca="1">IF($C$209=1,-MIN(SUM(H224,H225),H221),0)</f>
        <v>0</v>
      </c>
      <c r="I226" s="47">
        <f ca="1">IF($C$209=1,-MIN(SUM(I224,I225),I221),0)</f>
        <v>0</v>
      </c>
      <c r="J226" s="47">
        <f ca="1">IF($C$209=1,-MIN(SUM(J224,J225),J221),0)</f>
        <v>0</v>
      </c>
      <c r="K226" s="47">
        <f ca="1">IF($C$209=1,-MIN(SUM(K224,K225),K221),0)</f>
        <v>0</v>
      </c>
    </row>
    <row r="227" spans="2:11" x14ac:dyDescent="0.2">
      <c r="B227" s="1" t="s">
        <v>140</v>
      </c>
      <c r="G227" s="47">
        <f ca="1">SUM(G224:G226)</f>
        <v>355.67179999999985</v>
      </c>
      <c r="H227" s="47">
        <f ca="1">SUM(H224:H226)</f>
        <v>391.23897999999986</v>
      </c>
      <c r="I227" s="47">
        <f ca="1">SUM(I224:I226)</f>
        <v>430.36287799999985</v>
      </c>
      <c r="J227" s="47">
        <f ca="1">SUM(J224:J226)</f>
        <v>473.39916579999982</v>
      </c>
      <c r="K227" s="47">
        <f ca="1">SUM(K224:K226)</f>
        <v>520.73908237999979</v>
      </c>
    </row>
    <row r="228" spans="2:11" x14ac:dyDescent="0.2">
      <c r="B228" s="1" t="s">
        <v>141</v>
      </c>
      <c r="G228" s="47">
        <f ca="1">AVERAGE(G224,G227)*-$C$223</f>
        <v>0</v>
      </c>
      <c r="H228" s="47">
        <f ca="1">AVERAGE(H224,H227)*-$C$223</f>
        <v>0</v>
      </c>
      <c r="I228" s="47">
        <f ca="1">AVERAGE(I224,I227)*-$C$223</f>
        <v>0</v>
      </c>
      <c r="J228" s="47">
        <f ca="1">AVERAGE(J224,J227)*-$C$223</f>
        <v>0</v>
      </c>
      <c r="K228" s="47">
        <f ca="1">AVERAGE(K224,K227)*-$C$223</f>
        <v>0</v>
      </c>
    </row>
    <row r="230" spans="2:11" ht="15" x14ac:dyDescent="0.25">
      <c r="B230" s="66" t="s">
        <v>147</v>
      </c>
      <c r="C230" s="69">
        <v>4.4999999999999998E-2</v>
      </c>
      <c r="D230" s="68"/>
      <c r="E230" s="68"/>
      <c r="F230" s="68"/>
      <c r="G230" s="68"/>
      <c r="H230" s="68"/>
      <c r="I230" s="68"/>
      <c r="J230" s="68"/>
      <c r="K230" s="68"/>
    </row>
    <row r="231" spans="2:11" x14ac:dyDescent="0.2">
      <c r="B231" s="1" t="s">
        <v>138</v>
      </c>
      <c r="G231" s="10">
        <f>F88</f>
        <v>50</v>
      </c>
      <c r="H231" s="10">
        <f ca="1">G233</f>
        <v>49.999999999999886</v>
      </c>
      <c r="I231" s="10">
        <f ca="1">H233</f>
        <v>49.99999999995245</v>
      </c>
      <c r="J231" s="10">
        <f ca="1">I233</f>
        <v>49.999999991955775</v>
      </c>
      <c r="K231" s="10">
        <f ca="1">J233</f>
        <v>49.999999251139513</v>
      </c>
    </row>
    <row r="232" spans="2:11" x14ac:dyDescent="0.2">
      <c r="B232" s="1" t="s">
        <v>148</v>
      </c>
      <c r="G232" s="11">
        <f ca="1">G187</f>
        <v>0</v>
      </c>
      <c r="H232" s="11">
        <f ca="1">H187</f>
        <v>-1.7337242752546445E-12</v>
      </c>
      <c r="I232" s="11">
        <f ca="1">I187</f>
        <v>-3.2892444323806558E-10</v>
      </c>
      <c r="J232" s="11">
        <f ca="1">J187</f>
        <v>-3.2886163126022439E-8</v>
      </c>
      <c r="K232" s="11">
        <f ca="1">K187</f>
        <v>-1.8672935766517185E-6</v>
      </c>
    </row>
    <row r="233" spans="2:11" x14ac:dyDescent="0.2">
      <c r="B233" s="1" t="s">
        <v>140</v>
      </c>
      <c r="G233" s="10">
        <f ca="1">SUM(G231:G232)</f>
        <v>50</v>
      </c>
      <c r="H233" s="10">
        <f ca="1">SUM(H231:H232)</f>
        <v>49.999999999998153</v>
      </c>
      <c r="I233" s="10">
        <f ca="1">SUM(I231:I232)</f>
        <v>49.999999999623526</v>
      </c>
      <c r="J233" s="10">
        <f ca="1">SUM(J231:J232)</f>
        <v>49.999999959069612</v>
      </c>
      <c r="K233" s="10">
        <f ca="1">SUM(K231:K232)</f>
        <v>49.999997383845937</v>
      </c>
    </row>
    <row r="234" spans="2:11" x14ac:dyDescent="0.2">
      <c r="B234" s="1" t="s">
        <v>141</v>
      </c>
      <c r="G234" s="30">
        <f ca="1">AVERAGE(G231,G233)*$C$230</f>
        <v>2.25</v>
      </c>
      <c r="H234" s="30">
        <f ca="1">AVERAGE(H231,H233)*$C$230</f>
        <v>2.2499999999999556</v>
      </c>
      <c r="I234" s="30">
        <f ca="1">AVERAGE(I231,I233)*$C$230</f>
        <v>2.2499999999904592</v>
      </c>
      <c r="J234" s="30">
        <f ca="1">AVERAGE(J231,J233)*$C$230</f>
        <v>2.2499999988980712</v>
      </c>
      <c r="K234" s="30">
        <f ca="1">AVERAGE(K231,K233)*$C$230</f>
        <v>2.2499999242871724</v>
      </c>
    </row>
    <row r="237" spans="2:11" x14ac:dyDescent="0.2">
      <c r="B237" s="1" t="s">
        <v>149</v>
      </c>
      <c r="G237" s="5">
        <f t="shared" ref="G237:K238" ca="1" si="21">SUM(G202,G210,G218,G227)</f>
        <v>1787.3174460744103</v>
      </c>
      <c r="H237" s="5">
        <f t="shared" ca="1" si="21"/>
        <v>1760.029132841513</v>
      </c>
      <c r="I237" s="5">
        <f t="shared" ca="1" si="21"/>
        <v>1690.8836232882359</v>
      </c>
      <c r="J237" s="5">
        <f t="shared" ca="1" si="21"/>
        <v>1573.6656558535929</v>
      </c>
      <c r="K237" s="5">
        <f t="shared" ca="1" si="21"/>
        <v>1401.4988730867781</v>
      </c>
    </row>
    <row r="238" spans="2:11" x14ac:dyDescent="0.2">
      <c r="B238" s="1" t="s">
        <v>150</v>
      </c>
      <c r="G238" s="5">
        <f t="shared" ca="1" si="21"/>
        <v>-144.33333230372051</v>
      </c>
      <c r="H238" s="5">
        <f t="shared" ca="1" si="21"/>
        <v>-140.02178994579617</v>
      </c>
      <c r="I238" s="5">
        <f t="shared" ca="1" si="21"/>
        <v>-131.46554490648737</v>
      </c>
      <c r="J238" s="5">
        <f t="shared" ca="1" si="21"/>
        <v>-118.03936176707023</v>
      </c>
      <c r="K238" s="5">
        <f t="shared" ca="1" si="21"/>
        <v>-99.051314035567742</v>
      </c>
    </row>
    <row r="240" spans="2:11" x14ac:dyDescent="0.2">
      <c r="B240" s="1" t="s">
        <v>151</v>
      </c>
      <c r="G240" s="5">
        <f ca="1">G237-G233</f>
        <v>1737.3174460744103</v>
      </c>
      <c r="H240" s="5">
        <f ca="1">H237-H233</f>
        <v>1710.0291328415149</v>
      </c>
      <c r="I240" s="5">
        <f ca="1">I237-I233</f>
        <v>1640.8836232886124</v>
      </c>
      <c r="J240" s="5">
        <f ca="1">J237-J233</f>
        <v>1523.6656558945233</v>
      </c>
      <c r="K240" s="5">
        <f ca="1">K237-K233</f>
        <v>1351.4988757029321</v>
      </c>
    </row>
    <row r="241" spans="1:11" x14ac:dyDescent="0.2">
      <c r="B241" s="1" t="s">
        <v>152</v>
      </c>
      <c r="G241" s="30">
        <f ca="1">G238+G234</f>
        <v>-142.08333230372051</v>
      </c>
      <c r="H241" s="30">
        <f ca="1">H238+H234</f>
        <v>-137.77178994579623</v>
      </c>
      <c r="I241" s="30">
        <f ca="1">I238+I234</f>
        <v>-129.21554490649692</v>
      </c>
      <c r="J241" s="30">
        <f ca="1">J238+J234</f>
        <v>-115.78936176817216</v>
      </c>
      <c r="K241" s="30">
        <f ca="1">K238+K234</f>
        <v>-96.801314111280576</v>
      </c>
    </row>
    <row r="243" spans="1:11" ht="15" x14ac:dyDescent="0.25">
      <c r="B243" s="66" t="s">
        <v>153</v>
      </c>
      <c r="C243" s="68"/>
      <c r="D243" s="68"/>
      <c r="E243" s="68"/>
      <c r="F243" s="68"/>
      <c r="G243" s="68"/>
      <c r="H243" s="68"/>
      <c r="I243" s="68"/>
      <c r="J243" s="68"/>
      <c r="K243" s="68"/>
    </row>
    <row r="244" spans="1:11" x14ac:dyDescent="0.2">
      <c r="B244" s="1" t="s">
        <v>154</v>
      </c>
      <c r="G244" s="23">
        <f ca="1">G237/G74</f>
        <v>4.7788829862272468</v>
      </c>
      <c r="H244" s="23">
        <f ca="1">H237/H74</f>
        <v>4.1092899239888796</v>
      </c>
      <c r="I244" s="23">
        <f ca="1">I237/I74</f>
        <v>3.4759135270709542</v>
      </c>
      <c r="J244" s="23">
        <f ca="1">J237/J74</f>
        <v>2.8680625101869421</v>
      </c>
      <c r="K244" s="23">
        <f ca="1">K237/K74</f>
        <v>2.2780136303977461</v>
      </c>
    </row>
    <row r="245" spans="1:11" x14ac:dyDescent="0.2">
      <c r="B245" s="1" t="s">
        <v>155</v>
      </c>
      <c r="G245" s="23">
        <f ca="1">G74/-G238</f>
        <v>2.5912460872380527</v>
      </c>
      <c r="H245" s="23">
        <f ca="1">H74/-H238</f>
        <v>3.0588448417058038</v>
      </c>
      <c r="I245" s="23">
        <f ca="1">I74/-I238</f>
        <v>3.7002648344661706</v>
      </c>
      <c r="J245" s="23">
        <f ca="1">J74/-J238</f>
        <v>4.6483305246065756</v>
      </c>
      <c r="K245" s="23">
        <f ca="1">K74/-K238</f>
        <v>6.2112097180024106</v>
      </c>
    </row>
    <row r="247" spans="1:11" x14ac:dyDescent="0.2">
      <c r="B247" s="1" t="s">
        <v>156</v>
      </c>
      <c r="G247" s="23">
        <f ca="1">G240/G74</f>
        <v>4.6451942842923053</v>
      </c>
      <c r="H247" s="23">
        <f ca="1">H240/H74</f>
        <v>3.9925506653223368</v>
      </c>
      <c r="I247" s="23">
        <f ca="1">I240/I74</f>
        <v>3.3731295897505009</v>
      </c>
      <c r="J247" s="23">
        <f ca="1">J240/J74</f>
        <v>2.7769357038932818</v>
      </c>
      <c r="K247" s="23">
        <f ca="1">K240/K74</f>
        <v>2.1967430152388565</v>
      </c>
    </row>
    <row r="248" spans="1:11" x14ac:dyDescent="0.2">
      <c r="B248" s="1" t="s">
        <v>157</v>
      </c>
      <c r="G248" s="23">
        <f ca="1">G74/-G241</f>
        <v>2.6322804830517899</v>
      </c>
      <c r="H248" s="23">
        <f ca="1">H74/-H241</f>
        <v>3.1087999224704919</v>
      </c>
      <c r="I248" s="23">
        <f ca="1">I74/-I241</f>
        <v>3.7646966788200222</v>
      </c>
      <c r="J248" s="23">
        <f ca="1">J74/-J241</f>
        <v>4.7386561254694826</v>
      </c>
      <c r="K248" s="23">
        <f ca="1">K74/-K241</f>
        <v>6.3555798799526038</v>
      </c>
    </row>
    <row r="250" spans="1:11" ht="15" x14ac:dyDescent="0.25">
      <c r="A250" s="1" t="s">
        <v>0</v>
      </c>
      <c r="B250" s="96" t="s">
        <v>159</v>
      </c>
      <c r="C250" s="96"/>
      <c r="D250" s="96"/>
      <c r="E250" s="96"/>
      <c r="F250" s="96"/>
      <c r="G250" s="96"/>
      <c r="H250" s="96"/>
      <c r="I250" s="96"/>
      <c r="J250" s="96"/>
      <c r="K250" s="96"/>
    </row>
    <row r="251" spans="1:11" ht="15" x14ac:dyDescent="0.25">
      <c r="B251" s="88"/>
      <c r="C251" s="88"/>
      <c r="D251" s="88"/>
      <c r="E251" s="88"/>
      <c r="F251" s="88"/>
      <c r="G251" s="85">
        <v>2025</v>
      </c>
      <c r="H251" s="85">
        <f>G251+1</f>
        <v>2026</v>
      </c>
      <c r="I251" s="85">
        <f>H251+1</f>
        <v>2027</v>
      </c>
      <c r="J251" s="85">
        <f>I251+1</f>
        <v>2028</v>
      </c>
      <c r="K251" s="85">
        <f>J251+1</f>
        <v>2029</v>
      </c>
    </row>
    <row r="252" spans="1:11" x14ac:dyDescent="0.2">
      <c r="B252" s="1" t="s">
        <v>160</v>
      </c>
      <c r="G252" s="10">
        <f>G74</f>
        <v>374.00318259004541</v>
      </c>
      <c r="H252" s="10">
        <f>H74</f>
        <v>428.30492990211218</v>
      </c>
      <c r="I252" s="10">
        <f>I74</f>
        <v>486.4573327614084</v>
      </c>
      <c r="J252" s="10">
        <f>J74</f>
        <v>548.68596840695091</v>
      </c>
      <c r="K252" s="10">
        <f>K74</f>
        <v>615.2284843186269</v>
      </c>
    </row>
    <row r="253" spans="1:11" x14ac:dyDescent="0.2">
      <c r="B253" s="1" t="s">
        <v>161</v>
      </c>
      <c r="G253" s="23">
        <f>D16</f>
        <v>11</v>
      </c>
      <c r="H253" s="23">
        <f>G253</f>
        <v>11</v>
      </c>
      <c r="I253" s="23">
        <f>H253</f>
        <v>11</v>
      </c>
      <c r="J253" s="23">
        <f>I253</f>
        <v>11</v>
      </c>
      <c r="K253" s="23">
        <f>J253</f>
        <v>11</v>
      </c>
    </row>
    <row r="254" spans="1:11" x14ac:dyDescent="0.2">
      <c r="B254" s="1" t="s">
        <v>162</v>
      </c>
      <c r="G254" s="30">
        <f>G252*G253</f>
        <v>4114.0350084904994</v>
      </c>
      <c r="H254" s="30">
        <f>H252*H253</f>
        <v>4711.3542289232337</v>
      </c>
      <c r="I254" s="30">
        <f>I252*I253</f>
        <v>5351.0306603754925</v>
      </c>
      <c r="J254" s="30">
        <f>J252*J253</f>
        <v>6035.5456524764595</v>
      </c>
      <c r="K254" s="30">
        <f>K252*K253</f>
        <v>6767.5133275048956</v>
      </c>
    </row>
    <row r="255" spans="1:11" x14ac:dyDescent="0.2">
      <c r="B255" s="1" t="s">
        <v>163</v>
      </c>
      <c r="G255" s="5">
        <f ca="1">-G240</f>
        <v>-1737.3174460744103</v>
      </c>
      <c r="H255" s="5">
        <f ca="1">-H240</f>
        <v>-1710.0291328415149</v>
      </c>
      <c r="I255" s="5">
        <f ca="1">-I240</f>
        <v>-1640.8836232886124</v>
      </c>
      <c r="J255" s="5">
        <f ca="1">-J240</f>
        <v>-1523.6656558945233</v>
      </c>
      <c r="K255" s="5">
        <f ca="1">-K240</f>
        <v>-1351.4988757029321</v>
      </c>
    </row>
    <row r="256" spans="1:11" x14ac:dyDescent="0.2">
      <c r="B256" s="1" t="s">
        <v>16</v>
      </c>
      <c r="G256" s="30">
        <f ca="1">SUM(G254:G255)</f>
        <v>2376.7175624160891</v>
      </c>
      <c r="H256" s="30">
        <f ca="1">SUM(H254:H255)</f>
        <v>3001.3250960817186</v>
      </c>
      <c r="I256" s="30">
        <f ca="1">SUM(I254:I255)</f>
        <v>3710.1470370868801</v>
      </c>
      <c r="J256" s="30">
        <f ca="1">SUM(J254:J255)</f>
        <v>4511.8799965819362</v>
      </c>
      <c r="K256" s="30">
        <f ca="1">SUM(K254:K255)</f>
        <v>5416.0144518019633</v>
      </c>
    </row>
    <row r="257" spans="1:11" x14ac:dyDescent="0.2">
      <c r="B257" s="1" t="s">
        <v>165</v>
      </c>
      <c r="C257" s="29">
        <f>D15</f>
        <v>0.1</v>
      </c>
      <c r="G257" s="30">
        <f ca="1">(G256-G259)*$C$257</f>
        <v>37.309892800007631</v>
      </c>
      <c r="H257" s="30">
        <f ca="1">(H256-H259)*$C$257</f>
        <v>99.770646166570586</v>
      </c>
      <c r="I257" s="30">
        <f ca="1">(I256-I259)*$C$257</f>
        <v>170.65284026708673</v>
      </c>
      <c r="J257" s="30">
        <f ca="1">(J256-J259)*$C$257</f>
        <v>250.82613621659235</v>
      </c>
      <c r="K257" s="30">
        <f ca="1">(K256-K259)*$C$257</f>
        <v>341.23958173859506</v>
      </c>
    </row>
    <row r="258" spans="1:11" x14ac:dyDescent="0.2">
      <c r="B258" s="1" t="s">
        <v>166</v>
      </c>
      <c r="G258" s="30">
        <f ca="1">G256-G257</f>
        <v>2339.4076696160814</v>
      </c>
      <c r="H258" s="30">
        <f ca="1">H256-H257</f>
        <v>2901.5544499151479</v>
      </c>
      <c r="I258" s="30">
        <f ca="1">I256-I257</f>
        <v>3539.4941968197936</v>
      </c>
      <c r="J258" s="30">
        <f ca="1">J256-J257</f>
        <v>4261.053860365344</v>
      </c>
      <c r="K258" s="30">
        <f ca="1">K256-K257</f>
        <v>5074.7748700633683</v>
      </c>
    </row>
    <row r="259" spans="1:11" x14ac:dyDescent="0.2">
      <c r="B259" s="1" t="s">
        <v>167</v>
      </c>
      <c r="G259" s="5">
        <f>C32</f>
        <v>2003.6186344160128</v>
      </c>
      <c r="H259" s="5">
        <f>G259</f>
        <v>2003.6186344160128</v>
      </c>
      <c r="I259" s="5">
        <f>H259</f>
        <v>2003.6186344160128</v>
      </c>
      <c r="J259" s="5">
        <f>I259</f>
        <v>2003.6186344160128</v>
      </c>
      <c r="K259" s="5">
        <f>J259</f>
        <v>2003.6186344160128</v>
      </c>
    </row>
    <row r="261" spans="1:11" x14ac:dyDescent="0.2">
      <c r="B261" s="1" t="s">
        <v>168</v>
      </c>
      <c r="G261" s="5">
        <f>-G259</f>
        <v>-2003.6186344160128</v>
      </c>
      <c r="H261" s="5">
        <f>G261</f>
        <v>-2003.6186344160128</v>
      </c>
      <c r="I261" s="5">
        <f>H261</f>
        <v>-2003.6186344160128</v>
      </c>
      <c r="J261" s="5">
        <f>I261</f>
        <v>-2003.6186344160128</v>
      </c>
      <c r="K261" s="5">
        <f>J261</f>
        <v>-2003.6186344160128</v>
      </c>
    </row>
    <row r="262" spans="1:11" x14ac:dyDescent="0.2">
      <c r="B262" s="1">
        <v>2025</v>
      </c>
      <c r="G262" s="30">
        <f ca="1">G258</f>
        <v>2339.4076696160814</v>
      </c>
    </row>
    <row r="263" spans="1:11" x14ac:dyDescent="0.2">
      <c r="B263" s="1">
        <f>B262+1</f>
        <v>2026</v>
      </c>
      <c r="H263" s="30">
        <f ca="1">H258</f>
        <v>2901.5544499151479</v>
      </c>
    </row>
    <row r="264" spans="1:11" x14ac:dyDescent="0.2">
      <c r="B264" s="1">
        <f>B263+1</f>
        <v>2027</v>
      </c>
      <c r="I264" s="30">
        <f ca="1">I258</f>
        <v>3539.4941968197936</v>
      </c>
    </row>
    <row r="265" spans="1:11" x14ac:dyDescent="0.2">
      <c r="B265" s="1">
        <f>B264+1</f>
        <v>2028</v>
      </c>
      <c r="J265" s="30">
        <f ca="1">J258</f>
        <v>4261.053860365344</v>
      </c>
    </row>
    <row r="266" spans="1:11" ht="15" thickBot="1" x14ac:dyDescent="0.25">
      <c r="B266" s="1">
        <f>B265+1</f>
        <v>2029</v>
      </c>
      <c r="K266" s="30">
        <f ca="1">K258</f>
        <v>5074.7748700633683</v>
      </c>
    </row>
    <row r="267" spans="1:11" ht="15" x14ac:dyDescent="0.25">
      <c r="B267" s="74" t="s">
        <v>170</v>
      </c>
      <c r="C267" s="71"/>
      <c r="D267" s="71"/>
      <c r="E267" s="71"/>
      <c r="F267" s="71"/>
      <c r="G267" s="71">
        <f ca="1">G262/-G261</f>
        <v>1.1675912917918831</v>
      </c>
      <c r="H267" s="71">
        <f ca="1">H263/-H261</f>
        <v>1.4481570494880394</v>
      </c>
      <c r="I267" s="71">
        <f ca="1">I264/-I261</f>
        <v>1.7665508475625835</v>
      </c>
      <c r="J267" s="71">
        <f ca="1">J265/-J261</f>
        <v>2.1266790931036121</v>
      </c>
      <c r="K267" s="72">
        <f ca="1">K266/-K261</f>
        <v>2.5328047877446966</v>
      </c>
    </row>
    <row r="268" spans="1:11" ht="15.75" thickBot="1" x14ac:dyDescent="0.3">
      <c r="B268" s="75" t="s">
        <v>169</v>
      </c>
      <c r="C268" s="73"/>
      <c r="D268" s="73"/>
      <c r="E268" s="73"/>
      <c r="F268" s="73"/>
      <c r="G268" s="76">
        <f ca="1">G267^(1/1)-1</f>
        <v>0.16759129179188315</v>
      </c>
      <c r="H268" s="76">
        <f ca="1">H267^(1/2)-1</f>
        <v>0.20339397102031365</v>
      </c>
      <c r="I268" s="76">
        <f ca="1">I267^(1/3)-1</f>
        <v>0.2088582558241463</v>
      </c>
      <c r="J268" s="76">
        <f ca="1">J267^(1/4)-1</f>
        <v>0.20760663469987661</v>
      </c>
      <c r="K268" s="77">
        <f ca="1">K267^(1/5)-1</f>
        <v>0.20426022841283609</v>
      </c>
    </row>
    <row r="269" spans="1:11" ht="15" x14ac:dyDescent="0.25">
      <c r="B269" s="22"/>
      <c r="C269" s="22"/>
      <c r="D269" s="22"/>
      <c r="E269" s="22"/>
      <c r="F269" s="22"/>
      <c r="G269" s="70"/>
      <c r="H269" s="70"/>
      <c r="I269" s="70"/>
      <c r="J269" s="70"/>
      <c r="K269" s="70"/>
    </row>
    <row r="272" spans="1:11" ht="15" x14ac:dyDescent="0.25">
      <c r="A272" s="1" t="s">
        <v>0</v>
      </c>
      <c r="B272" s="96" t="s">
        <v>195</v>
      </c>
      <c r="C272" s="96"/>
      <c r="D272" s="96"/>
      <c r="E272" s="96"/>
      <c r="F272" s="96"/>
      <c r="G272" s="96"/>
      <c r="H272" s="96"/>
      <c r="I272" s="96"/>
      <c r="J272" s="96"/>
      <c r="K272" s="96"/>
    </row>
    <row r="274" spans="3:11" ht="15" x14ac:dyDescent="0.25">
      <c r="C274" s="97"/>
      <c r="D274" s="97"/>
      <c r="E274" s="100" t="s">
        <v>196</v>
      </c>
      <c r="F274" s="100"/>
      <c r="G274" s="100"/>
      <c r="H274" s="100"/>
      <c r="I274" s="100"/>
      <c r="J274" s="100"/>
      <c r="K274" s="100"/>
    </row>
    <row r="275" spans="3:11" x14ac:dyDescent="0.2">
      <c r="C275" s="97"/>
      <c r="D275" s="91">
        <f ca="1">K267</f>
        <v>2.5328047877446966</v>
      </c>
      <c r="E275" s="89">
        <f>F275-5%</f>
        <v>0.10000000000000002</v>
      </c>
      <c r="F275" s="89">
        <f>G275-5%</f>
        <v>0.15000000000000002</v>
      </c>
      <c r="G275" s="89">
        <v>0.2</v>
      </c>
      <c r="H275" s="89">
        <f>G275+5%</f>
        <v>0.25</v>
      </c>
      <c r="I275" s="89">
        <f t="shared" ref="I275:K275" si="22">H275+5%</f>
        <v>0.3</v>
      </c>
      <c r="J275" s="89">
        <f t="shared" si="22"/>
        <v>0.35</v>
      </c>
      <c r="K275" s="89">
        <f t="shared" si="22"/>
        <v>0.39999999999999997</v>
      </c>
    </row>
    <row r="276" spans="3:11" x14ac:dyDescent="0.2">
      <c r="C276" s="97"/>
      <c r="D276" s="90">
        <v>9</v>
      </c>
      <c r="E276" s="23">
        <f t="dataTable" ref="E276:K280" dt2D="1" dtr="1" r1="D20" r2="D16" ca="1"/>
        <v>2.2896431285824055</v>
      </c>
      <c r="F276" s="23">
        <v>2.1230825095475048</v>
      </c>
      <c r="G276" s="23">
        <v>1.9800991708691773</v>
      </c>
      <c r="H276" s="23">
        <v>1.856017829655898</v>
      </c>
      <c r="I276" s="23">
        <v>1.7473226884085216</v>
      </c>
      <c r="J276" s="23">
        <v>1.6513189701971456</v>
      </c>
      <c r="K276" s="23">
        <v>1.5659064791156196</v>
      </c>
    </row>
    <row r="277" spans="3:11" ht="15" x14ac:dyDescent="0.25">
      <c r="C277" s="98" t="s">
        <v>201</v>
      </c>
      <c r="D277" s="90">
        <f>D276+1</f>
        <v>10</v>
      </c>
      <c r="E277" s="23">
        <v>2.6115651893506109</v>
      </c>
      <c r="F277" s="23">
        <v>2.4204844939956445</v>
      </c>
      <c r="G277" s="23">
        <v>2.2564519789214694</v>
      </c>
      <c r="H277" s="23">
        <v>2.1141041035597081</v>
      </c>
      <c r="I277" s="23">
        <v>1.989407495129957</v>
      </c>
      <c r="J277" s="23">
        <v>1.8792706672991819</v>
      </c>
      <c r="K277" s="23">
        <v>1.7812842455219373</v>
      </c>
    </row>
    <row r="278" spans="3:11" ht="15" x14ac:dyDescent="0.25">
      <c r="C278" s="98" t="s">
        <v>202</v>
      </c>
      <c r="D278" s="90">
        <f>D277+1</f>
        <v>11</v>
      </c>
      <c r="E278" s="23">
        <v>2.9334872591203252</v>
      </c>
      <c r="F278" s="23">
        <v>2.7178864784437837</v>
      </c>
      <c r="G278" s="80">
        <v>2.5328047869737613</v>
      </c>
      <c r="H278" s="23">
        <v>2.3721903774635176</v>
      </c>
      <c r="I278" s="23">
        <v>2.2314923018513921</v>
      </c>
      <c r="J278" s="23">
        <v>2.1072223644012174</v>
      </c>
      <c r="K278" s="23">
        <v>1.9966620119282545</v>
      </c>
    </row>
    <row r="279" spans="3:11" x14ac:dyDescent="0.2">
      <c r="C279" s="97"/>
      <c r="D279" s="90">
        <f t="shared" ref="D279:D280" si="23">D278+1</f>
        <v>12</v>
      </c>
      <c r="E279" s="23">
        <v>3.2554093288900403</v>
      </c>
      <c r="F279" s="23">
        <v>3.0152884628919239</v>
      </c>
      <c r="G279" s="23">
        <v>2.8091575950260537</v>
      </c>
      <c r="H279" s="23">
        <v>2.6302766513673279</v>
      </c>
      <c r="I279" s="23">
        <v>2.4735771085728278</v>
      </c>
      <c r="J279" s="23">
        <v>2.3351740615032539</v>
      </c>
      <c r="K279" s="23">
        <v>2.2120397783345718</v>
      </c>
    </row>
    <row r="280" spans="3:11" x14ac:dyDescent="0.2">
      <c r="C280" s="97"/>
      <c r="D280" s="90">
        <f t="shared" si="23"/>
        <v>13</v>
      </c>
      <c r="E280" s="23">
        <v>3.5773313986597546</v>
      </c>
      <c r="F280" s="23">
        <v>3.3126904473400636</v>
      </c>
      <c r="G280" s="23">
        <v>3.085510403078346</v>
      </c>
      <c r="H280" s="23">
        <v>2.8883629252711378</v>
      </c>
      <c r="I280" s="23">
        <v>2.7156619152942634</v>
      </c>
      <c r="J280" s="23">
        <v>2.5631257586052905</v>
      </c>
      <c r="K280" s="23">
        <v>2.4274175447408894</v>
      </c>
    </row>
    <row r="282" spans="3:11" ht="15" x14ac:dyDescent="0.25">
      <c r="C282" s="97"/>
      <c r="D282" s="97"/>
      <c r="E282" s="100" t="s">
        <v>196</v>
      </c>
      <c r="F282" s="100"/>
      <c r="G282" s="100"/>
      <c r="H282" s="100"/>
      <c r="I282" s="100"/>
      <c r="J282" s="100"/>
      <c r="K282" s="100"/>
    </row>
    <row r="283" spans="3:11" x14ac:dyDescent="0.2">
      <c r="C283" s="97"/>
      <c r="D283" s="91">
        <f ca="1">K268</f>
        <v>0.20426022841283609</v>
      </c>
      <c r="E283" s="89">
        <f>F283-5%</f>
        <v>0.10000000000000002</v>
      </c>
      <c r="F283" s="89">
        <f>G283-5%</f>
        <v>0.15000000000000002</v>
      </c>
      <c r="G283" s="89">
        <v>0.2</v>
      </c>
      <c r="H283" s="89">
        <f>G283+5%</f>
        <v>0.25</v>
      </c>
      <c r="I283" s="89">
        <f t="shared" ref="I283:K283" si="24">H283+5%</f>
        <v>0.3</v>
      </c>
      <c r="J283" s="89">
        <f t="shared" si="24"/>
        <v>0.35</v>
      </c>
      <c r="K283" s="89">
        <f t="shared" si="24"/>
        <v>0.39999999999999997</v>
      </c>
    </row>
    <row r="284" spans="3:11" x14ac:dyDescent="0.2">
      <c r="C284" s="97"/>
      <c r="D284" s="90">
        <v>9</v>
      </c>
      <c r="E284" s="78">
        <f t="dataTable" ref="E284:K288" dt2D="1" dtr="1" r1="D20" r2="D16" ca="1"/>
        <v>0.1801944266768869</v>
      </c>
      <c r="F284" s="78">
        <v>0.16250110534501361</v>
      </c>
      <c r="G284" s="78">
        <v>0.14640319664699097</v>
      </c>
      <c r="H284" s="78">
        <v>0.13166120731630548</v>
      </c>
      <c r="I284" s="78">
        <v>0.11808449055364867</v>
      </c>
      <c r="J284" s="78">
        <v>0.10551895680824064</v>
      </c>
      <c r="K284" s="78">
        <v>9.3838396671891422E-2</v>
      </c>
    </row>
    <row r="285" spans="3:11" ht="15" x14ac:dyDescent="0.25">
      <c r="C285" s="98" t="s">
        <v>201</v>
      </c>
      <c r="D285" s="90">
        <f>D284+1</f>
        <v>10</v>
      </c>
      <c r="E285" s="78">
        <v>0.21165833513288335</v>
      </c>
      <c r="F285" s="78">
        <v>0.19338468728010683</v>
      </c>
      <c r="G285" s="78">
        <v>0.17675274238151228</v>
      </c>
      <c r="H285" s="78">
        <v>0.16151620650369303</v>
      </c>
      <c r="I285" s="78">
        <v>0.14747900977753892</v>
      </c>
      <c r="J285" s="78">
        <v>0.1344826723369954</v>
      </c>
      <c r="K285" s="78">
        <v>0.1223973828750502</v>
      </c>
    </row>
    <row r="286" spans="3:11" ht="15" x14ac:dyDescent="0.25">
      <c r="C286" s="98" t="s">
        <v>202</v>
      </c>
      <c r="D286" s="90">
        <f>D285+1</f>
        <v>11</v>
      </c>
      <c r="E286" s="78">
        <v>0.24015749199821901</v>
      </c>
      <c r="F286" s="78">
        <v>0.22136722765050632</v>
      </c>
      <c r="G286" s="79">
        <v>0.20426022833952562</v>
      </c>
      <c r="H286" s="78">
        <v>0.18858407725879944</v>
      </c>
      <c r="I286" s="78">
        <v>0.17413782354730101</v>
      </c>
      <c r="J286" s="78">
        <v>0.16075903663350699</v>
      </c>
      <c r="K286" s="78">
        <v>0.14831466461997911</v>
      </c>
    </row>
    <row r="287" spans="3:11" x14ac:dyDescent="0.2">
      <c r="C287" s="97"/>
      <c r="D287" s="90">
        <f t="shared" ref="D287:D288" si="25">D286+1</f>
        <v>12</v>
      </c>
      <c r="E287" s="78">
        <v>0.26625484689357681</v>
      </c>
      <c r="F287" s="78">
        <v>0.24699804670839209</v>
      </c>
      <c r="G287" s="78">
        <v>0.22946231315246179</v>
      </c>
      <c r="H287" s="78">
        <v>0.21338964941724403</v>
      </c>
      <c r="I287" s="78">
        <v>0.19857465703648614</v>
      </c>
      <c r="J287" s="78">
        <v>0.18485130603754718</v>
      </c>
      <c r="K287" s="78">
        <v>0.17208359252822825</v>
      </c>
    </row>
    <row r="288" spans="3:11" x14ac:dyDescent="0.2">
      <c r="C288" s="97"/>
      <c r="D288" s="90">
        <f t="shared" si="25"/>
        <v>13</v>
      </c>
      <c r="E288" s="78">
        <v>0.29036280190085617</v>
      </c>
      <c r="F288" s="78">
        <v>0.27067993188015382</v>
      </c>
      <c r="G288" s="78">
        <v>0.25275286030384758</v>
      </c>
      <c r="H288" s="78">
        <v>0.23631845553182362</v>
      </c>
      <c r="I288" s="78">
        <v>0.2211672267657645</v>
      </c>
      <c r="J288" s="78">
        <v>0.2071298325193367</v>
      </c>
      <c r="K288" s="78">
        <v>0.19406755332140579</v>
      </c>
    </row>
  </sheetData>
  <mergeCells count="2">
    <mergeCell ref="E274:K274"/>
    <mergeCell ref="E282:K282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1EE93-3F20-4EF5-9DA7-4AF75B5D8C0F}">
  <dimension ref="B3:H27"/>
  <sheetViews>
    <sheetView showGridLines="0" zoomScale="62" workbookViewId="0"/>
  </sheetViews>
  <sheetFormatPr defaultRowHeight="15" x14ac:dyDescent="0.25"/>
  <cols>
    <col min="1" max="1" width="3" customWidth="1"/>
    <col min="2" max="2" width="16.85546875" bestFit="1" customWidth="1"/>
    <col min="3" max="3" width="14.85546875" bestFit="1" customWidth="1"/>
    <col min="8" max="8" width="12.7109375" bestFit="1" customWidth="1"/>
  </cols>
  <sheetData>
    <row r="3" spans="2:6" x14ac:dyDescent="0.25">
      <c r="B3" s="94" t="s">
        <v>199</v>
      </c>
    </row>
    <row r="4" spans="2:6" x14ac:dyDescent="0.25">
      <c r="B4" s="95" t="s">
        <v>198</v>
      </c>
    </row>
    <row r="7" spans="2:6" x14ac:dyDescent="0.25">
      <c r="B7" t="s">
        <v>171</v>
      </c>
      <c r="C7" s="58">
        <v>46.19</v>
      </c>
    </row>
    <row r="8" spans="2:6" x14ac:dyDescent="0.25">
      <c r="B8" t="s">
        <v>172</v>
      </c>
      <c r="C8" s="93">
        <f>LBO!D20</f>
        <v>0.2</v>
      </c>
    </row>
    <row r="9" spans="2:6" x14ac:dyDescent="0.25">
      <c r="B9" t="s">
        <v>173</v>
      </c>
      <c r="C9" s="58">
        <f>C7*(1+C8)</f>
        <v>55.427999999999997</v>
      </c>
    </row>
    <row r="10" spans="2:6" x14ac:dyDescent="0.25">
      <c r="B10" t="s">
        <v>174</v>
      </c>
      <c r="C10" s="58">
        <v>51.543044000000002</v>
      </c>
    </row>
    <row r="13" spans="2:6" x14ac:dyDescent="0.25">
      <c r="B13" s="92" t="s">
        <v>175</v>
      </c>
      <c r="C13" s="92" t="s">
        <v>176</v>
      </c>
      <c r="D13" s="92" t="s">
        <v>177</v>
      </c>
      <c r="E13" s="92" t="s">
        <v>178</v>
      </c>
      <c r="F13" s="92" t="s">
        <v>179</v>
      </c>
    </row>
    <row r="14" spans="2:6" x14ac:dyDescent="0.25">
      <c r="B14" t="s">
        <v>180</v>
      </c>
      <c r="C14">
        <v>0.92700000000000005</v>
      </c>
      <c r="D14">
        <v>47.68</v>
      </c>
      <c r="E14">
        <f>IF(D14&lt;C9,1,0)</f>
        <v>1</v>
      </c>
      <c r="F14">
        <f>E14*D14*C14</f>
        <v>44.199359999999999</v>
      </c>
    </row>
    <row r="15" spans="2:6" x14ac:dyDescent="0.25">
      <c r="B15" t="s">
        <v>181</v>
      </c>
      <c r="C15">
        <v>3.2389999999999999</v>
      </c>
      <c r="E15">
        <f>IF(D15&lt;C10,1,0)</f>
        <v>1</v>
      </c>
      <c r="F15">
        <f>E15*D15*C15</f>
        <v>0</v>
      </c>
    </row>
    <row r="16" spans="2:6" x14ac:dyDescent="0.25">
      <c r="B16" t="s">
        <v>182</v>
      </c>
      <c r="C16" s="59">
        <f>H27</f>
        <v>4.7863485016648175</v>
      </c>
      <c r="E16">
        <f>IF(D16&lt;C11,1,0)</f>
        <v>0</v>
      </c>
      <c r="F16">
        <f>E16*D16*C16</f>
        <v>0</v>
      </c>
    </row>
    <row r="19" spans="2:8" x14ac:dyDescent="0.25">
      <c r="B19" s="60" t="s">
        <v>183</v>
      </c>
      <c r="C19" s="60">
        <f>SUM(C14:C18)</f>
        <v>8.9523485016648188</v>
      </c>
      <c r="D19" s="60"/>
      <c r="E19" s="60"/>
      <c r="F19" s="60">
        <f>SUM(F14:F18)</f>
        <v>44.199359999999999</v>
      </c>
    </row>
    <row r="21" spans="2:8" x14ac:dyDescent="0.25">
      <c r="B21" t="s">
        <v>184</v>
      </c>
      <c r="F21">
        <f>F19/C9</f>
        <v>0.79741935483870974</v>
      </c>
    </row>
    <row r="22" spans="2:8" ht="15.75" thickBot="1" x14ac:dyDescent="0.3">
      <c r="B22" t="s">
        <v>185</v>
      </c>
      <c r="F22">
        <f>C19-F21</f>
        <v>8.1549291468261096</v>
      </c>
    </row>
    <row r="23" spans="2:8" ht="15.75" thickBot="1" x14ac:dyDescent="0.3">
      <c r="B23" s="61" t="s">
        <v>15</v>
      </c>
      <c r="C23" s="62"/>
      <c r="D23" s="62"/>
      <c r="E23" s="62"/>
      <c r="F23" s="63">
        <f>F22+C10</f>
        <v>59.697973146826115</v>
      </c>
    </row>
    <row r="26" spans="2:8" x14ac:dyDescent="0.25">
      <c r="B26" s="92" t="s">
        <v>186</v>
      </c>
      <c r="C26" s="92" t="s">
        <v>187</v>
      </c>
      <c r="D26" s="92" t="s">
        <v>188</v>
      </c>
      <c r="E26" s="92" t="s">
        <v>189</v>
      </c>
      <c r="F26" s="92" t="s">
        <v>190</v>
      </c>
      <c r="G26" s="92" t="s">
        <v>191</v>
      </c>
      <c r="H26" s="92" t="s">
        <v>192</v>
      </c>
    </row>
    <row r="27" spans="2:8" x14ac:dyDescent="0.25">
      <c r="B27" t="s">
        <v>193</v>
      </c>
      <c r="C27" s="64">
        <v>345000000</v>
      </c>
      <c r="D27">
        <f>F27/E27</f>
        <v>13.873473917869035</v>
      </c>
      <c r="E27">
        <v>72.08</v>
      </c>
      <c r="F27">
        <v>1000</v>
      </c>
      <c r="G27" s="65">
        <f>C27/F27</f>
        <v>345000</v>
      </c>
      <c r="H27" s="59">
        <f>G27*D27/1000000</f>
        <v>4.7863485016648175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LBO</vt:lpstr>
      <vt:lpstr>TSM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schmitt</dc:creator>
  <cp:lastModifiedBy>Lauren Schmitt</cp:lastModifiedBy>
  <dcterms:created xsi:type="dcterms:W3CDTF">2025-03-31T15:25:36Z</dcterms:created>
  <dcterms:modified xsi:type="dcterms:W3CDTF">2025-04-05T11:38:34Z</dcterms:modified>
</cp:coreProperties>
</file>