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ns\OneDrive - Weston Nurseries\Desktop\Lauren\EJ\"/>
    </mc:Choice>
  </mc:AlternateContent>
  <xr:revisionPtr revIDLastSave="0" documentId="8_{2B1CF5F0-A231-4334-B480-EFD7B472F236}" xr6:coauthVersionLast="47" xr6:coauthVersionMax="47" xr10:uidLastSave="{00000000-0000-0000-0000-000000000000}"/>
  <bookViews>
    <workbookView xWindow="780" yWindow="780" windowWidth="14835" windowHeight="14925" xr2:uid="{E0BBAB42-2D25-4076-BF85-94F9376A5C84}"/>
  </bookViews>
  <sheets>
    <sheet name="Prompt" sheetId="1" r:id="rId1"/>
    <sheet name="Response" sheetId="2" r:id="rId2"/>
    <sheet name="Example Answer" sheetId="3" r:id="rId3"/>
  </sheets>
  <definedNames>
    <definedName name="circ">'Example Answer'!$F$30</definedName>
    <definedName name="tax">'Example Answer'!$F$29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3" l="1"/>
  <c r="L25" i="3" l="1"/>
  <c r="G65" i="3"/>
  <c r="H65" i="3" s="1"/>
  <c r="I65" i="3" s="1"/>
  <c r="J65" i="3" s="1"/>
  <c r="K65" i="3" s="1"/>
  <c r="L65" i="3" s="1"/>
  <c r="G62" i="3"/>
  <c r="G55" i="3"/>
  <c r="G52" i="3"/>
  <c r="G46" i="3"/>
  <c r="G128" i="3" s="1"/>
  <c r="H128" i="3" s="1"/>
  <c r="G44" i="3"/>
  <c r="H44" i="3" s="1"/>
  <c r="I44" i="3" s="1"/>
  <c r="J44" i="3" s="1"/>
  <c r="K44" i="3" s="1"/>
  <c r="L44" i="3" s="1"/>
  <c r="G43" i="3"/>
  <c r="G124" i="3" s="1"/>
  <c r="H124" i="3" s="1"/>
  <c r="L281" i="3"/>
  <c r="L277" i="3"/>
  <c r="O268" i="3"/>
  <c r="O269" i="3" s="1"/>
  <c r="O266" i="3"/>
  <c r="O265" i="3" s="1"/>
  <c r="S264" i="3"/>
  <c r="T264" i="3" s="1"/>
  <c r="Q264" i="3"/>
  <c r="P264" i="3" s="1"/>
  <c r="G262" i="3"/>
  <c r="H262" i="3" s="1"/>
  <c r="I262" i="3" s="1"/>
  <c r="J262" i="3" s="1"/>
  <c r="K262" i="3" s="1"/>
  <c r="L262" i="3" s="1"/>
  <c r="B12" i="3" s="1"/>
  <c r="B253" i="3"/>
  <c r="B254" i="3" s="1"/>
  <c r="B255" i="3" s="1"/>
  <c r="B256" i="3" s="1"/>
  <c r="O247" i="3"/>
  <c r="O248" i="3" s="1"/>
  <c r="D247" i="3"/>
  <c r="O245" i="3"/>
  <c r="O244" i="3" s="1"/>
  <c r="S243" i="3"/>
  <c r="T243" i="3" s="1"/>
  <c r="Q243" i="3"/>
  <c r="P243" i="3" s="1"/>
  <c r="L243" i="3"/>
  <c r="K243" i="3"/>
  <c r="J243" i="3"/>
  <c r="I243" i="3"/>
  <c r="H243" i="3"/>
  <c r="G241" i="3"/>
  <c r="H241" i="3" s="1"/>
  <c r="I241" i="3" s="1"/>
  <c r="J241" i="3" s="1"/>
  <c r="K241" i="3" s="1"/>
  <c r="L241" i="3" s="1"/>
  <c r="D236" i="3"/>
  <c r="H236" i="3" s="1"/>
  <c r="H149" i="3" s="1"/>
  <c r="D235" i="3"/>
  <c r="L235" i="3" s="1"/>
  <c r="L148" i="3" s="1"/>
  <c r="D227" i="3"/>
  <c r="G215" i="3"/>
  <c r="H215" i="3" s="1"/>
  <c r="I215" i="3" s="1"/>
  <c r="J215" i="3" s="1"/>
  <c r="K215" i="3" s="1"/>
  <c r="L215" i="3" s="1"/>
  <c r="D195" i="3"/>
  <c r="D190" i="3"/>
  <c r="D182" i="3"/>
  <c r="D176" i="3"/>
  <c r="D170" i="3"/>
  <c r="L167" i="3"/>
  <c r="K167" i="3"/>
  <c r="J167" i="3"/>
  <c r="I167" i="3"/>
  <c r="H167" i="3"/>
  <c r="G164" i="3"/>
  <c r="H164" i="3" s="1"/>
  <c r="I164" i="3" s="1"/>
  <c r="J164" i="3" s="1"/>
  <c r="K164" i="3" s="1"/>
  <c r="L164" i="3" s="1"/>
  <c r="B153" i="3"/>
  <c r="G137" i="3"/>
  <c r="H137" i="3" s="1"/>
  <c r="I137" i="3" s="1"/>
  <c r="J137" i="3" s="1"/>
  <c r="K137" i="3" s="1"/>
  <c r="L137" i="3" s="1"/>
  <c r="G123" i="3"/>
  <c r="H123" i="3" s="1"/>
  <c r="I123" i="3" s="1"/>
  <c r="J123" i="3" s="1"/>
  <c r="K123" i="3" s="1"/>
  <c r="L123" i="3" s="1"/>
  <c r="F116" i="3"/>
  <c r="G116" i="3" s="1"/>
  <c r="H116" i="3" s="1"/>
  <c r="I116" i="3" s="1"/>
  <c r="J116" i="3" s="1"/>
  <c r="K116" i="3" s="1"/>
  <c r="L116" i="3" s="1"/>
  <c r="G113" i="3"/>
  <c r="H113" i="3" s="1"/>
  <c r="I113" i="3" s="1"/>
  <c r="J113" i="3" s="1"/>
  <c r="K113" i="3" s="1"/>
  <c r="L113" i="3" s="1"/>
  <c r="F108" i="3"/>
  <c r="G108" i="3" s="1"/>
  <c r="H108" i="3" s="1"/>
  <c r="I108" i="3" s="1"/>
  <c r="J108" i="3" s="1"/>
  <c r="K108" i="3" s="1"/>
  <c r="L108" i="3" s="1"/>
  <c r="F107" i="3"/>
  <c r="G107" i="3" s="1"/>
  <c r="H107" i="3" s="1"/>
  <c r="I107" i="3" s="1"/>
  <c r="J107" i="3" s="1"/>
  <c r="K107" i="3" s="1"/>
  <c r="L107" i="3" s="1"/>
  <c r="E105" i="3"/>
  <c r="E114" i="3" s="1"/>
  <c r="E118" i="3" s="1"/>
  <c r="G104" i="3"/>
  <c r="G103" i="3"/>
  <c r="G102" i="3"/>
  <c r="G101" i="3"/>
  <c r="G96" i="3"/>
  <c r="H96" i="3" s="1"/>
  <c r="I96" i="3" s="1"/>
  <c r="J96" i="3" s="1"/>
  <c r="K96" i="3" s="1"/>
  <c r="L96" i="3" s="1"/>
  <c r="E93" i="3"/>
  <c r="G92" i="3"/>
  <c r="G91" i="3"/>
  <c r="E89" i="3"/>
  <c r="E98" i="3" s="1"/>
  <c r="P84" i="3" s="1"/>
  <c r="G88" i="3"/>
  <c r="G87" i="3"/>
  <c r="P86" i="3"/>
  <c r="G86" i="3"/>
  <c r="G83" i="3"/>
  <c r="H83" i="3" s="1"/>
  <c r="I83" i="3" s="1"/>
  <c r="J83" i="3" s="1"/>
  <c r="K83" i="3" s="1"/>
  <c r="L83" i="3" s="1"/>
  <c r="H78" i="3"/>
  <c r="I78" i="3" s="1"/>
  <c r="I145" i="3" s="1"/>
  <c r="G42" i="3"/>
  <c r="H42" i="3" s="1"/>
  <c r="I42" i="3" s="1"/>
  <c r="D37" i="3"/>
  <c r="B36" i="3"/>
  <c r="B112" i="3" s="1"/>
  <c r="B156" i="3" s="1"/>
  <c r="E35" i="3"/>
  <c r="B35" i="3"/>
  <c r="B111" i="3" s="1"/>
  <c r="B155" i="3" s="1"/>
  <c r="E34" i="3"/>
  <c r="B34" i="3"/>
  <c r="B110" i="3" s="1"/>
  <c r="B154" i="3" s="1"/>
  <c r="E33" i="3"/>
  <c r="L302" i="3"/>
  <c r="L28" i="3"/>
  <c r="F25" i="3"/>
  <c r="F24" i="3"/>
  <c r="L300" i="3" s="1"/>
  <c r="H293" i="3"/>
  <c r="H292" i="3"/>
  <c r="H291" i="3"/>
  <c r="H290" i="3"/>
  <c r="J20" i="3"/>
  <c r="E36" i="3" s="1"/>
  <c r="H289" i="3"/>
  <c r="H288" i="3"/>
  <c r="F288" i="3"/>
  <c r="L288" i="3" s="1"/>
  <c r="B287" i="3"/>
  <c r="H287" i="3" s="1"/>
  <c r="F12" i="3"/>
  <c r="E12" i="3"/>
  <c r="D12" i="3"/>
  <c r="F11" i="3"/>
  <c r="E11" i="3"/>
  <c r="D11" i="3"/>
  <c r="B11" i="3"/>
  <c r="H29" i="1"/>
  <c r="H26" i="1"/>
  <c r="H23" i="1"/>
  <c r="M24" i="1"/>
  <c r="E13" i="3" l="1"/>
  <c r="L26" i="3"/>
  <c r="L27" i="3"/>
  <c r="L33" i="3" s="1"/>
  <c r="D13" i="3"/>
  <c r="G79" i="3"/>
  <c r="G125" i="3"/>
  <c r="H125" i="3" s="1"/>
  <c r="G56" i="3"/>
  <c r="H56" i="3" s="1"/>
  <c r="I56" i="3" s="1"/>
  <c r="J56" i="3" s="1"/>
  <c r="G126" i="3"/>
  <c r="H126" i="3" s="1"/>
  <c r="I126" i="3" s="1"/>
  <c r="J126" i="3" s="1"/>
  <c r="G53" i="3"/>
  <c r="H53" i="3" s="1"/>
  <c r="I53" i="3" s="1"/>
  <c r="G63" i="3"/>
  <c r="H63" i="3" s="1"/>
  <c r="I63" i="3" s="1"/>
  <c r="J63" i="3" s="1"/>
  <c r="K63" i="3" s="1"/>
  <c r="L63" i="3" s="1"/>
  <c r="P88" i="3"/>
  <c r="P89" i="3" s="1"/>
  <c r="F95" i="3" s="1"/>
  <c r="G95" i="3" s="1"/>
  <c r="H95" i="3" s="1"/>
  <c r="I95" i="3" s="1"/>
  <c r="J95" i="3" s="1"/>
  <c r="K95" i="3" s="1"/>
  <c r="L95" i="3" s="1"/>
  <c r="G131" i="3"/>
  <c r="H131" i="3" s="1"/>
  <c r="I131" i="3" s="1"/>
  <c r="J131" i="3" s="1"/>
  <c r="K131" i="3" s="1"/>
  <c r="E120" i="3"/>
  <c r="G47" i="3"/>
  <c r="H47" i="3" s="1"/>
  <c r="I47" i="3" s="1"/>
  <c r="J47" i="3" s="1"/>
  <c r="K47" i="3" s="1"/>
  <c r="L47" i="3" s="1"/>
  <c r="K235" i="3"/>
  <c r="K148" i="3" s="1"/>
  <c r="J78" i="3"/>
  <c r="H145" i="3"/>
  <c r="H146" i="3" s="1"/>
  <c r="G105" i="3"/>
  <c r="G133" i="3" s="1"/>
  <c r="G49" i="3"/>
  <c r="G58" i="3" s="1"/>
  <c r="E37" i="3" s="1"/>
  <c r="G129" i="3"/>
  <c r="H129" i="3" s="1"/>
  <c r="I129" i="3" s="1"/>
  <c r="F13" i="3"/>
  <c r="G130" i="3"/>
  <c r="H130" i="3" s="1"/>
  <c r="G80" i="3"/>
  <c r="I130" i="3"/>
  <c r="J42" i="3"/>
  <c r="K42" i="3" s="1"/>
  <c r="L42" i="3" s="1"/>
  <c r="K56" i="3"/>
  <c r="I125" i="3"/>
  <c r="I128" i="3"/>
  <c r="K78" i="3"/>
  <c r="J145" i="3"/>
  <c r="L29" i="3"/>
  <c r="F85" i="3"/>
  <c r="G85" i="3" s="1"/>
  <c r="H43" i="3"/>
  <c r="I124" i="3"/>
  <c r="I266" i="3"/>
  <c r="I146" i="3"/>
  <c r="J218" i="3"/>
  <c r="J235" i="3" s="1"/>
  <c r="J148" i="3" s="1"/>
  <c r="I218" i="3"/>
  <c r="I235" i="3" s="1"/>
  <c r="I148" i="3" s="1"/>
  <c r="H218" i="3"/>
  <c r="P85" i="3"/>
  <c r="P87" i="3" s="1"/>
  <c r="G93" i="3"/>
  <c r="H91" i="3"/>
  <c r="L236" i="3"/>
  <c r="L149" i="3" s="1"/>
  <c r="K236" i="3"/>
  <c r="K149" i="3" s="1"/>
  <c r="J236" i="3"/>
  <c r="J149" i="3" s="1"/>
  <c r="I236" i="3"/>
  <c r="I149" i="3" s="1"/>
  <c r="L279" i="3"/>
  <c r="G220" i="3"/>
  <c r="H88" i="3" l="1"/>
  <c r="H266" i="3"/>
  <c r="D36" i="3"/>
  <c r="D33" i="3"/>
  <c r="G59" i="3"/>
  <c r="D35" i="3"/>
  <c r="F111" i="3" s="1"/>
  <c r="G111" i="3" s="1"/>
  <c r="G67" i="3"/>
  <c r="L30" i="3"/>
  <c r="E17" i="3" s="1"/>
  <c r="G50" i="3"/>
  <c r="H86" i="3"/>
  <c r="H52" i="3"/>
  <c r="D34" i="3"/>
  <c r="H235" i="3"/>
  <c r="H148" i="3" s="1"/>
  <c r="L223" i="3"/>
  <c r="L229" i="3" s="1"/>
  <c r="K223" i="3"/>
  <c r="K229" i="3" s="1"/>
  <c r="J223" i="3"/>
  <c r="J229" i="3" s="1"/>
  <c r="I223" i="3"/>
  <c r="I229" i="3" s="1"/>
  <c r="H223" i="3"/>
  <c r="H229" i="3" s="1"/>
  <c r="J53" i="3"/>
  <c r="I52" i="3"/>
  <c r="J124" i="3"/>
  <c r="J129" i="3"/>
  <c r="J125" i="3"/>
  <c r="G89" i="3"/>
  <c r="G161" i="3"/>
  <c r="J266" i="3"/>
  <c r="J146" i="3"/>
  <c r="J128" i="3"/>
  <c r="L78" i="3"/>
  <c r="K145" i="3"/>
  <c r="I91" i="3"/>
  <c r="K126" i="3"/>
  <c r="L56" i="3"/>
  <c r="L222" i="3"/>
  <c r="K222" i="3"/>
  <c r="J222" i="3"/>
  <c r="I222" i="3"/>
  <c r="H222" i="3"/>
  <c r="G222" i="3"/>
  <c r="G224" i="3" s="1"/>
  <c r="H217" i="3"/>
  <c r="H220" i="3" s="1"/>
  <c r="I217" i="3" s="1"/>
  <c r="I220" i="3" s="1"/>
  <c r="J217" i="3" s="1"/>
  <c r="J220" i="3" s="1"/>
  <c r="K217" i="3" s="1"/>
  <c r="K220" i="3" s="1"/>
  <c r="L217" i="3" s="1"/>
  <c r="L220" i="3" s="1"/>
  <c r="I43" i="3"/>
  <c r="H46" i="3"/>
  <c r="H49" i="3" s="1"/>
  <c r="H62" i="3"/>
  <c r="H79" i="3"/>
  <c r="H55" i="3"/>
  <c r="L131" i="3"/>
  <c r="J130" i="3"/>
  <c r="L35" i="3" l="1"/>
  <c r="L39" i="3" s="1"/>
  <c r="D39" i="3" s="1"/>
  <c r="G185" i="3"/>
  <c r="H183" i="3" s="1"/>
  <c r="G173" i="3"/>
  <c r="F109" i="3"/>
  <c r="G109" i="3" s="1"/>
  <c r="F112" i="3"/>
  <c r="G112" i="3" s="1"/>
  <c r="G192" i="3"/>
  <c r="H189" i="3" s="1"/>
  <c r="L296" i="3"/>
  <c r="G179" i="3"/>
  <c r="H177" i="3" s="1"/>
  <c r="F110" i="3"/>
  <c r="G110" i="3" s="1"/>
  <c r="H190" i="3"/>
  <c r="H70" i="3" s="1"/>
  <c r="H141" i="3" s="1"/>
  <c r="J224" i="3"/>
  <c r="J228" i="3"/>
  <c r="G198" i="3"/>
  <c r="H159" i="3"/>
  <c r="K53" i="3"/>
  <c r="I224" i="3"/>
  <c r="I228" i="3"/>
  <c r="J91" i="3"/>
  <c r="K224" i="3"/>
  <c r="K228" i="3"/>
  <c r="K266" i="3"/>
  <c r="K146" i="3"/>
  <c r="K125" i="3"/>
  <c r="H139" i="3"/>
  <c r="H80" i="3"/>
  <c r="H92" i="3"/>
  <c r="L228" i="3"/>
  <c r="L224" i="3"/>
  <c r="H103" i="3"/>
  <c r="H87" i="3"/>
  <c r="H102" i="3"/>
  <c r="H104" i="3"/>
  <c r="H101" i="3"/>
  <c r="L145" i="3"/>
  <c r="K129" i="3"/>
  <c r="I69" i="3"/>
  <c r="I140" i="3" s="1"/>
  <c r="K124" i="3"/>
  <c r="K130" i="3"/>
  <c r="H224" i="3"/>
  <c r="H228" i="3"/>
  <c r="J43" i="3"/>
  <c r="J52" i="3" s="1"/>
  <c r="I46" i="3"/>
  <c r="I49" i="3" s="1"/>
  <c r="I62" i="3"/>
  <c r="I79" i="3"/>
  <c r="I55" i="3"/>
  <c r="I88" i="3"/>
  <c r="H58" i="3"/>
  <c r="H50" i="3"/>
  <c r="L126" i="3"/>
  <c r="K128" i="3"/>
  <c r="I86" i="3"/>
  <c r="J69" i="3" l="1"/>
  <c r="J140" i="3" s="1"/>
  <c r="K69" i="3"/>
  <c r="K140" i="3" s="1"/>
  <c r="F97" i="3"/>
  <c r="G97" i="3" s="1"/>
  <c r="G98" i="3" s="1"/>
  <c r="L69" i="3"/>
  <c r="L140" i="3" s="1"/>
  <c r="H69" i="3"/>
  <c r="H140" i="3" s="1"/>
  <c r="L298" i="3"/>
  <c r="G114" i="3"/>
  <c r="H171" i="3"/>
  <c r="G201" i="3"/>
  <c r="G208" i="3" s="1"/>
  <c r="J86" i="3"/>
  <c r="L53" i="3"/>
  <c r="I139" i="3"/>
  <c r="I80" i="3"/>
  <c r="L230" i="3"/>
  <c r="L237" i="3" s="1"/>
  <c r="L150" i="3" s="1"/>
  <c r="L255" i="3"/>
  <c r="K230" i="3"/>
  <c r="K237" i="3" s="1"/>
  <c r="K150" i="3" s="1"/>
  <c r="H196" i="3"/>
  <c r="G204" i="3"/>
  <c r="G211" i="3" s="1"/>
  <c r="I92" i="3"/>
  <c r="H93" i="3"/>
  <c r="L254" i="3"/>
  <c r="K254" i="3"/>
  <c r="J230" i="3"/>
  <c r="J237" i="3" s="1"/>
  <c r="J150" i="3" s="1"/>
  <c r="H166" i="3"/>
  <c r="L128" i="3"/>
  <c r="I104" i="3"/>
  <c r="I103" i="3"/>
  <c r="I101" i="3"/>
  <c r="I102" i="3"/>
  <c r="I87" i="3"/>
  <c r="D38" i="3"/>
  <c r="F36" i="3"/>
  <c r="F37" i="3"/>
  <c r="F33" i="3"/>
  <c r="F34" i="3"/>
  <c r="F35" i="3"/>
  <c r="K43" i="3"/>
  <c r="J46" i="3"/>
  <c r="J49" i="3"/>
  <c r="J62" i="3"/>
  <c r="J55" i="3"/>
  <c r="J79" i="3"/>
  <c r="J88" i="3"/>
  <c r="H230" i="3"/>
  <c r="L266" i="3"/>
  <c r="L146" i="3"/>
  <c r="K91" i="3"/>
  <c r="I58" i="3"/>
  <c r="I50" i="3"/>
  <c r="K253" i="3"/>
  <c r="J253" i="3"/>
  <c r="L252" i="3"/>
  <c r="I230" i="3"/>
  <c r="I237" i="3" s="1"/>
  <c r="I150" i="3" s="1"/>
  <c r="L253" i="3"/>
  <c r="K252" i="3"/>
  <c r="J252" i="3"/>
  <c r="I252" i="3"/>
  <c r="L130" i="3"/>
  <c r="L124" i="3"/>
  <c r="L129" i="3"/>
  <c r="H60" i="3"/>
  <c r="H265" i="3"/>
  <c r="H242" i="3"/>
  <c r="H244" i="3" s="1"/>
  <c r="H67" i="3"/>
  <c r="H59" i="3"/>
  <c r="H105" i="3"/>
  <c r="H97" i="3"/>
  <c r="I97" i="3" s="1"/>
  <c r="L125" i="3"/>
  <c r="H237" i="3" l="1"/>
  <c r="H150" i="3" s="1"/>
  <c r="J97" i="3"/>
  <c r="K97" i="3" s="1"/>
  <c r="L97" i="3" s="1"/>
  <c r="I265" i="3"/>
  <c r="I242" i="3"/>
  <c r="I244" i="3" s="1"/>
  <c r="I60" i="3"/>
  <c r="I59" i="3"/>
  <c r="I67" i="3"/>
  <c r="J139" i="3"/>
  <c r="J80" i="3"/>
  <c r="F117" i="3"/>
  <c r="G117" i="3" s="1"/>
  <c r="L249" i="3"/>
  <c r="L251" i="3" s="1"/>
  <c r="E38" i="3"/>
  <c r="E39" i="3" s="1"/>
  <c r="F294" i="3"/>
  <c r="K249" i="3"/>
  <c r="K251" i="3" s="1"/>
  <c r="J249" i="3"/>
  <c r="J251" i="3" s="1"/>
  <c r="I249" i="3"/>
  <c r="I251" i="3" s="1"/>
  <c r="F38" i="3"/>
  <c r="F39" i="3" s="1"/>
  <c r="H249" i="3"/>
  <c r="H251" i="3" s="1"/>
  <c r="J104" i="3"/>
  <c r="J103" i="3"/>
  <c r="J101" i="3"/>
  <c r="J87" i="3"/>
  <c r="J102" i="3"/>
  <c r="L43" i="3"/>
  <c r="L86" i="3" s="1"/>
  <c r="K46" i="3"/>
  <c r="K62" i="3"/>
  <c r="K55" i="3"/>
  <c r="K79" i="3"/>
  <c r="K88" i="3"/>
  <c r="K86" i="3"/>
  <c r="J92" i="3"/>
  <c r="I93" i="3"/>
  <c r="H263" i="3"/>
  <c r="H268" i="3" s="1"/>
  <c r="K52" i="3"/>
  <c r="L91" i="3"/>
  <c r="J50" i="3"/>
  <c r="J58" i="3"/>
  <c r="I105" i="3"/>
  <c r="H133" i="3"/>
  <c r="G238" i="3" l="1"/>
  <c r="H233" i="3" s="1"/>
  <c r="G118" i="3"/>
  <c r="G120" i="3" s="1"/>
  <c r="H134" i="3"/>
  <c r="I133" i="3"/>
  <c r="I134" i="3" s="1"/>
  <c r="J265" i="3"/>
  <c r="J242" i="3"/>
  <c r="J244" i="3" s="1"/>
  <c r="J59" i="3"/>
  <c r="J60" i="3"/>
  <c r="J67" i="3"/>
  <c r="K104" i="3"/>
  <c r="K103" i="3"/>
  <c r="K102" i="3"/>
  <c r="K87" i="3"/>
  <c r="K101" i="3"/>
  <c r="I263" i="3"/>
  <c r="I268" i="3" s="1"/>
  <c r="K92" i="3"/>
  <c r="J93" i="3"/>
  <c r="L52" i="3"/>
  <c r="K49" i="3"/>
  <c r="K139" i="3"/>
  <c r="K80" i="3"/>
  <c r="L46" i="3"/>
  <c r="L49" i="3" s="1"/>
  <c r="L62" i="3"/>
  <c r="L79" i="3"/>
  <c r="L55" i="3"/>
  <c r="L88" i="3"/>
  <c r="J105" i="3"/>
  <c r="I267" i="3" l="1"/>
  <c r="I269" i="3" s="1"/>
  <c r="I142" i="3"/>
  <c r="L50" i="3"/>
  <c r="L58" i="3"/>
  <c r="H267" i="3"/>
  <c r="H269" i="3" s="1"/>
  <c r="H142" i="3"/>
  <c r="L139" i="3"/>
  <c r="L80" i="3"/>
  <c r="L92" i="3"/>
  <c r="L93" i="3" s="1"/>
  <c r="K93" i="3"/>
  <c r="J263" i="3"/>
  <c r="J268" i="3" s="1"/>
  <c r="J133" i="3"/>
  <c r="K50" i="3"/>
  <c r="K58" i="3"/>
  <c r="L104" i="3"/>
  <c r="L101" i="3"/>
  <c r="L87" i="3"/>
  <c r="L102" i="3"/>
  <c r="L103" i="3"/>
  <c r="K105" i="3"/>
  <c r="L105" i="3" l="1"/>
  <c r="L133" i="3" s="1"/>
  <c r="K265" i="3"/>
  <c r="K242" i="3"/>
  <c r="K244" i="3" s="1"/>
  <c r="K59" i="3"/>
  <c r="K60" i="3"/>
  <c r="K67" i="3"/>
  <c r="L265" i="3"/>
  <c r="L59" i="3"/>
  <c r="L60" i="3"/>
  <c r="L67" i="3"/>
  <c r="L242" i="3"/>
  <c r="L244" i="3" s="1"/>
  <c r="F287" i="3"/>
  <c r="K133" i="3"/>
  <c r="K134" i="3" s="1"/>
  <c r="J134" i="3"/>
  <c r="L287" i="3" l="1"/>
  <c r="F289" i="3"/>
  <c r="L263" i="3"/>
  <c r="L268" i="3" s="1"/>
  <c r="L273" i="3"/>
  <c r="L274" i="3" s="1"/>
  <c r="K267" i="3"/>
  <c r="K142" i="3"/>
  <c r="K263" i="3"/>
  <c r="K268" i="3" s="1"/>
  <c r="J267" i="3"/>
  <c r="J269" i="3" s="1"/>
  <c r="J142" i="3"/>
  <c r="L134" i="3"/>
  <c r="K269" i="3" l="1"/>
  <c r="L267" i="3"/>
  <c r="L269" i="3" s="1"/>
  <c r="L142" i="3"/>
  <c r="L289" i="3"/>
  <c r="L275" i="3" l="1"/>
  <c r="L276" i="3" s="1"/>
  <c r="L278" i="3" s="1"/>
  <c r="L280" i="3" s="1"/>
  <c r="L282" i="3" s="1"/>
  <c r="O264" i="3" l="1"/>
  <c r="I70" i="3"/>
  <c r="J70" i="3"/>
  <c r="K70" i="3"/>
  <c r="L70" i="3"/>
  <c r="H71" i="3"/>
  <c r="I71" i="3"/>
  <c r="J71" i="3"/>
  <c r="K71" i="3"/>
  <c r="L71" i="3"/>
  <c r="H73" i="3"/>
  <c r="I73" i="3"/>
  <c r="J73" i="3"/>
  <c r="K73" i="3"/>
  <c r="L73" i="3"/>
  <c r="H74" i="3"/>
  <c r="I74" i="3"/>
  <c r="J74" i="3"/>
  <c r="K74" i="3"/>
  <c r="L74" i="3"/>
  <c r="H75" i="3"/>
  <c r="I75" i="3"/>
  <c r="J75" i="3"/>
  <c r="K75" i="3"/>
  <c r="L75" i="3"/>
  <c r="H85" i="3"/>
  <c r="I85" i="3"/>
  <c r="J85" i="3"/>
  <c r="K85" i="3"/>
  <c r="L85" i="3"/>
  <c r="H89" i="3"/>
  <c r="I89" i="3"/>
  <c r="J89" i="3"/>
  <c r="K89" i="3"/>
  <c r="L89" i="3"/>
  <c r="H98" i="3"/>
  <c r="I98" i="3"/>
  <c r="J98" i="3"/>
  <c r="K98" i="3"/>
  <c r="L98" i="3"/>
  <c r="H109" i="3"/>
  <c r="I109" i="3"/>
  <c r="J109" i="3"/>
  <c r="K109" i="3"/>
  <c r="L109" i="3"/>
  <c r="H110" i="3"/>
  <c r="I110" i="3"/>
  <c r="J110" i="3"/>
  <c r="K110" i="3"/>
  <c r="L110" i="3"/>
  <c r="H111" i="3"/>
  <c r="I111" i="3"/>
  <c r="J111" i="3"/>
  <c r="K111" i="3"/>
  <c r="L111" i="3"/>
  <c r="H112" i="3"/>
  <c r="I112" i="3"/>
  <c r="J112" i="3"/>
  <c r="K112" i="3"/>
  <c r="L112" i="3"/>
  <c r="H114" i="3"/>
  <c r="I114" i="3"/>
  <c r="J114" i="3"/>
  <c r="K114" i="3"/>
  <c r="L114" i="3"/>
  <c r="H117" i="3"/>
  <c r="I117" i="3"/>
  <c r="J117" i="3"/>
  <c r="K117" i="3"/>
  <c r="L117" i="3"/>
  <c r="H118" i="3"/>
  <c r="I118" i="3"/>
  <c r="J118" i="3"/>
  <c r="K118" i="3"/>
  <c r="L118" i="3"/>
  <c r="H120" i="3"/>
  <c r="I120" i="3"/>
  <c r="J120" i="3"/>
  <c r="K120" i="3"/>
  <c r="L120" i="3"/>
  <c r="H138" i="3"/>
  <c r="I138" i="3"/>
  <c r="J138" i="3"/>
  <c r="K138" i="3"/>
  <c r="L138" i="3"/>
  <c r="I141" i="3"/>
  <c r="J141" i="3"/>
  <c r="K141" i="3"/>
  <c r="L141" i="3"/>
  <c r="H143" i="3"/>
  <c r="I143" i="3"/>
  <c r="J143" i="3"/>
  <c r="K143" i="3"/>
  <c r="L143" i="3"/>
  <c r="H151" i="3"/>
  <c r="I151" i="3"/>
  <c r="J151" i="3"/>
  <c r="K151" i="3"/>
  <c r="L151" i="3"/>
  <c r="H153" i="3"/>
  <c r="I153" i="3"/>
  <c r="J153" i="3"/>
  <c r="K153" i="3"/>
  <c r="L153" i="3"/>
  <c r="H154" i="3"/>
  <c r="I154" i="3"/>
  <c r="J154" i="3"/>
  <c r="K154" i="3"/>
  <c r="L154" i="3"/>
  <c r="H155" i="3"/>
  <c r="I155" i="3"/>
  <c r="J155" i="3"/>
  <c r="K155" i="3"/>
  <c r="L155" i="3"/>
  <c r="H156" i="3"/>
  <c r="I156" i="3"/>
  <c r="J156" i="3"/>
  <c r="K156" i="3"/>
  <c r="L156" i="3"/>
  <c r="H157" i="3"/>
  <c r="I157" i="3"/>
  <c r="J157" i="3"/>
  <c r="K157" i="3"/>
  <c r="L157" i="3"/>
  <c r="I159" i="3"/>
  <c r="J159" i="3"/>
  <c r="K159" i="3"/>
  <c r="L159" i="3"/>
  <c r="H160" i="3"/>
  <c r="I160" i="3"/>
  <c r="J160" i="3"/>
  <c r="K160" i="3"/>
  <c r="L160" i="3"/>
  <c r="H161" i="3"/>
  <c r="I161" i="3"/>
  <c r="J161" i="3"/>
  <c r="K161" i="3"/>
  <c r="L161" i="3"/>
  <c r="H165" i="3"/>
  <c r="I165" i="3"/>
  <c r="J165" i="3"/>
  <c r="K165" i="3"/>
  <c r="L165" i="3"/>
  <c r="I166" i="3"/>
  <c r="J166" i="3"/>
  <c r="K166" i="3"/>
  <c r="L166" i="3"/>
  <c r="H168" i="3"/>
  <c r="I168" i="3"/>
  <c r="J168" i="3"/>
  <c r="K168" i="3"/>
  <c r="L168" i="3"/>
  <c r="I171" i="3"/>
  <c r="J171" i="3"/>
  <c r="K171" i="3"/>
  <c r="L171" i="3"/>
  <c r="H172" i="3"/>
  <c r="I172" i="3"/>
  <c r="J172" i="3"/>
  <c r="K172" i="3"/>
  <c r="L172" i="3"/>
  <c r="H173" i="3"/>
  <c r="I173" i="3"/>
  <c r="J173" i="3"/>
  <c r="K173" i="3"/>
  <c r="L173" i="3"/>
  <c r="H174" i="3"/>
  <c r="I174" i="3"/>
  <c r="J174" i="3"/>
  <c r="K174" i="3"/>
  <c r="L174" i="3"/>
  <c r="I177" i="3"/>
  <c r="J177" i="3"/>
  <c r="K177" i="3"/>
  <c r="L177" i="3"/>
  <c r="H178" i="3"/>
  <c r="I178" i="3"/>
  <c r="J178" i="3"/>
  <c r="K178" i="3"/>
  <c r="L178" i="3"/>
  <c r="H179" i="3"/>
  <c r="I179" i="3"/>
  <c r="J179" i="3"/>
  <c r="K179" i="3"/>
  <c r="L179" i="3"/>
  <c r="H180" i="3"/>
  <c r="I180" i="3"/>
  <c r="J180" i="3"/>
  <c r="K180" i="3"/>
  <c r="L180" i="3"/>
  <c r="I183" i="3"/>
  <c r="J183" i="3"/>
  <c r="K183" i="3"/>
  <c r="L183" i="3"/>
  <c r="H184" i="3"/>
  <c r="I184" i="3"/>
  <c r="J184" i="3"/>
  <c r="K184" i="3"/>
  <c r="L184" i="3"/>
  <c r="H185" i="3"/>
  <c r="I185" i="3"/>
  <c r="J185" i="3"/>
  <c r="K185" i="3"/>
  <c r="L185" i="3"/>
  <c r="H186" i="3"/>
  <c r="I186" i="3"/>
  <c r="J186" i="3"/>
  <c r="K186" i="3"/>
  <c r="L186" i="3"/>
  <c r="I189" i="3"/>
  <c r="J189" i="3"/>
  <c r="K189" i="3"/>
  <c r="L189" i="3"/>
  <c r="I190" i="3"/>
  <c r="J190" i="3"/>
  <c r="K190" i="3"/>
  <c r="L190" i="3"/>
  <c r="H191" i="3"/>
  <c r="I191" i="3"/>
  <c r="J191" i="3"/>
  <c r="K191" i="3"/>
  <c r="L191" i="3"/>
  <c r="H192" i="3"/>
  <c r="I192" i="3"/>
  <c r="J192" i="3"/>
  <c r="K192" i="3"/>
  <c r="L192" i="3"/>
  <c r="H193" i="3"/>
  <c r="I193" i="3"/>
  <c r="J193" i="3"/>
  <c r="K193" i="3"/>
  <c r="L193" i="3"/>
  <c r="I196" i="3"/>
  <c r="J196" i="3"/>
  <c r="K196" i="3"/>
  <c r="L196" i="3"/>
  <c r="H197" i="3"/>
  <c r="I197" i="3"/>
  <c r="J197" i="3"/>
  <c r="K197" i="3"/>
  <c r="L197" i="3"/>
  <c r="H198" i="3"/>
  <c r="I198" i="3"/>
  <c r="J198" i="3"/>
  <c r="K198" i="3"/>
  <c r="L198" i="3"/>
  <c r="H199" i="3"/>
  <c r="I199" i="3"/>
  <c r="J199" i="3"/>
  <c r="K199" i="3"/>
  <c r="L199" i="3"/>
  <c r="H201" i="3"/>
  <c r="I201" i="3"/>
  <c r="J201" i="3"/>
  <c r="K201" i="3"/>
  <c r="L201" i="3"/>
  <c r="H202" i="3"/>
  <c r="I202" i="3"/>
  <c r="J202" i="3"/>
  <c r="K202" i="3"/>
  <c r="L202" i="3"/>
  <c r="H204" i="3"/>
  <c r="I204" i="3"/>
  <c r="J204" i="3"/>
  <c r="K204" i="3"/>
  <c r="L204" i="3"/>
  <c r="H205" i="3"/>
  <c r="I205" i="3"/>
  <c r="J205" i="3"/>
  <c r="K205" i="3"/>
  <c r="L205" i="3"/>
  <c r="H208" i="3"/>
  <c r="I208" i="3"/>
  <c r="J208" i="3"/>
  <c r="K208" i="3"/>
  <c r="L208" i="3"/>
  <c r="H209" i="3"/>
  <c r="I209" i="3"/>
  <c r="J209" i="3"/>
  <c r="K209" i="3"/>
  <c r="L209" i="3"/>
  <c r="H211" i="3"/>
  <c r="I211" i="3"/>
  <c r="J211" i="3"/>
  <c r="K211" i="3"/>
  <c r="L211" i="3"/>
  <c r="H212" i="3"/>
  <c r="I212" i="3"/>
  <c r="J212" i="3"/>
  <c r="K212" i="3"/>
  <c r="L212" i="3"/>
  <c r="I233" i="3"/>
  <c r="J233" i="3"/>
  <c r="K233" i="3"/>
  <c r="L233" i="3"/>
  <c r="H234" i="3"/>
  <c r="I234" i="3"/>
  <c r="J234" i="3"/>
  <c r="K234" i="3"/>
  <c r="L234" i="3"/>
  <c r="H238" i="3"/>
  <c r="I238" i="3"/>
  <c r="J238" i="3"/>
  <c r="K238" i="3"/>
  <c r="L238" i="3"/>
  <c r="O243" i="3"/>
  <c r="H245" i="3"/>
  <c r="I245" i="3"/>
  <c r="J245" i="3"/>
  <c r="K245" i="3"/>
  <c r="L245" i="3"/>
  <c r="H246" i="3"/>
  <c r="I246" i="3"/>
  <c r="J246" i="3"/>
  <c r="K246" i="3"/>
  <c r="L246" i="3"/>
  <c r="H247" i="3"/>
  <c r="I247" i="3"/>
  <c r="J247" i="3"/>
  <c r="K247" i="3"/>
  <c r="L247" i="3"/>
  <c r="H248" i="3"/>
  <c r="I248" i="3"/>
  <c r="J248" i="3"/>
  <c r="K248" i="3"/>
  <c r="L248" i="3"/>
  <c r="H252" i="3"/>
  <c r="I253" i="3"/>
  <c r="J254" i="3"/>
  <c r="K255" i="3"/>
  <c r="L256" i="3"/>
  <c r="H258" i="3"/>
  <c r="I258" i="3"/>
  <c r="J258" i="3"/>
  <c r="K258" i="3"/>
  <c r="L258" i="3"/>
  <c r="H259" i="3"/>
  <c r="I259" i="3"/>
  <c r="J259" i="3"/>
  <c r="K259" i="3"/>
  <c r="L259" i="3"/>
  <c r="F290" i="3"/>
  <c r="L290" i="3"/>
  <c r="F291" i="3"/>
  <c r="L291" i="3"/>
  <c r="F292" i="3"/>
  <c r="L292" i="3"/>
  <c r="F293" i="3"/>
  <c r="L293" i="3"/>
  <c r="F295" i="3"/>
  <c r="L295" i="3"/>
  <c r="F296" i="3"/>
  <c r="L297" i="3"/>
  <c r="L299" i="3"/>
  <c r="L301" i="3"/>
  <c r="L303" i="3"/>
</calcChain>
</file>

<file path=xl/sharedStrings.xml><?xml version="1.0" encoding="utf-8"?>
<sst xmlns="http://schemas.openxmlformats.org/spreadsheetml/2006/main" count="343" uniqueCount="227">
  <si>
    <t>Create a 3-statement model (Income Statement / Balance Sheet / Cash Flow)</t>
  </si>
  <si>
    <t>Create a 5-year Discounted Cash Flow Analysis (Assume a 10% WACC and a 10x Terminal Multiple on Forward EBITDA</t>
  </si>
  <si>
    <t>Create a levereaged buyout analysis (calculate 3, 4, 5 year return with an Exit Multiple of 12x) with a credit analysis</t>
  </si>
  <si>
    <t>Operating Assumptions</t>
  </si>
  <si>
    <t>Revenues</t>
  </si>
  <si>
    <t>YOY Growth</t>
  </si>
  <si>
    <t>COGS (Excl. Depreciation)</t>
  </si>
  <si>
    <t>General &amp; Administration  Expenses (excl. Amortization)</t>
  </si>
  <si>
    <t>% Revenue (assume constant margin)</t>
  </si>
  <si>
    <t>Sales &amp; Marketing Expenses (excl. Amortization)</t>
  </si>
  <si>
    <t>% Revenue (assume declining margin to 4%)</t>
  </si>
  <si>
    <t>Depreciation (Book)</t>
  </si>
  <si>
    <t>Amortization</t>
  </si>
  <si>
    <t>Capex</t>
  </si>
  <si>
    <t>Other Assumptions</t>
  </si>
  <si>
    <t>Interest Rate on Revolver</t>
  </si>
  <si>
    <t>Interest Rate on Straight Debt</t>
  </si>
  <si>
    <t>Interest Rate on Cash &amp; Equivalents</t>
  </si>
  <si>
    <t>Minimum Cash Balance</t>
  </si>
  <si>
    <t>Tax Rate</t>
  </si>
  <si>
    <t>Dividend Per Share</t>
  </si>
  <si>
    <t xml:space="preserve">Common Shares </t>
  </si>
  <si>
    <t>New Shares Issued (First 3 Years)</t>
  </si>
  <si>
    <t>Shares Repurchases (Last 2 years)</t>
  </si>
  <si>
    <t>Price per Share Issued</t>
  </si>
  <si>
    <t>Price per Share Repurchased</t>
  </si>
  <si>
    <t xml:space="preserve">Opening Balance Sheet </t>
  </si>
  <si>
    <t>Cash &amp; Equivalents</t>
  </si>
  <si>
    <t>Accounts Receivable</t>
  </si>
  <si>
    <t>Inventory</t>
  </si>
  <si>
    <t>Other Current Assets</t>
  </si>
  <si>
    <t>Total Current Assets</t>
  </si>
  <si>
    <t>Gross PP&amp;E</t>
  </si>
  <si>
    <t>Accumulated Depreciation</t>
  </si>
  <si>
    <t>Net PP&amp;E</t>
  </si>
  <si>
    <t>Goodwill &amp; Other Intangibles</t>
  </si>
  <si>
    <t>Other Assets</t>
  </si>
  <si>
    <t>Total Assets</t>
  </si>
  <si>
    <t>Accounts Payable</t>
  </si>
  <si>
    <t>Accrued Expenses &amp; Liabilities</t>
  </si>
  <si>
    <t>Taxes Payable</t>
  </si>
  <si>
    <t>Other Current Liabilities</t>
  </si>
  <si>
    <t>Total Current Liabilities</t>
  </si>
  <si>
    <t>Revolver Debt</t>
  </si>
  <si>
    <t>Other Long Term Debt</t>
  </si>
  <si>
    <t>Other Long Term Liabilities</t>
  </si>
  <si>
    <t>Total Liabilities</t>
  </si>
  <si>
    <t>Shareholders Equity</t>
  </si>
  <si>
    <t>Total Liabilities &amp; Shareholder Equity</t>
  </si>
  <si>
    <t>2024A</t>
  </si>
  <si>
    <t xml:space="preserve">Purchase Price Per Share </t>
  </si>
  <si>
    <t>Financing Assumptions</t>
  </si>
  <si>
    <t>Leverage</t>
  </si>
  <si>
    <t>Fees (Amort over 7 Yrs)</t>
  </si>
  <si>
    <t>Bank Debt</t>
  </si>
  <si>
    <t>Subordinate Debt</t>
  </si>
  <si>
    <t>PIK Sub Debt</t>
  </si>
  <si>
    <t>Total Leverage</t>
  </si>
  <si>
    <t>2025 LBO Transaction Summary</t>
  </si>
  <si>
    <t>% Revenue (assume declining margin to 48%)</t>
  </si>
  <si>
    <t>Low</t>
  </si>
  <si>
    <t>Mid</t>
  </si>
  <si>
    <t>High</t>
  </si>
  <si>
    <t>Average</t>
  </si>
  <si>
    <t>xx</t>
  </si>
  <si>
    <t>Assumptions</t>
  </si>
  <si>
    <t>Debt</t>
  </si>
  <si>
    <t>Mult</t>
  </si>
  <si>
    <t>Rate</t>
  </si>
  <si>
    <t>Fees</t>
  </si>
  <si>
    <t>Returns Analysis</t>
  </si>
  <si>
    <t>Reverse Returns Analysis</t>
  </si>
  <si>
    <t>Entry Year</t>
  </si>
  <si>
    <t>Revolver</t>
  </si>
  <si>
    <t>Exit Year</t>
  </si>
  <si>
    <t>Exit Multiple</t>
  </si>
  <si>
    <t>Amortization Period</t>
  </si>
  <si>
    <t>Sub Debt</t>
  </si>
  <si>
    <t>TEV at Exit</t>
  </si>
  <si>
    <t>Less: Net Debt</t>
  </si>
  <si>
    <t>Management Options</t>
  </si>
  <si>
    <t>Equity Value at Exit</t>
  </si>
  <si>
    <t>Sponsor Equity at Exit</t>
  </si>
  <si>
    <t>Purchase Price Assumptions</t>
  </si>
  <si>
    <t>Sponsor Equity at Closing</t>
  </si>
  <si>
    <t>Required IRR</t>
  </si>
  <si>
    <t>MOIC</t>
  </si>
  <si>
    <t>Shares</t>
  </si>
  <si>
    <t>IRR</t>
  </si>
  <si>
    <t>Plus: Sources</t>
  </si>
  <si>
    <t>Equity Value</t>
  </si>
  <si>
    <t>Implied TEV at Closing</t>
  </si>
  <si>
    <t>Plus: Net Debt</t>
  </si>
  <si>
    <t>Less: Uses</t>
  </si>
  <si>
    <t>TEV at Closing</t>
  </si>
  <si>
    <t>Implied Equity Value</t>
  </si>
  <si>
    <t>Circular?</t>
  </si>
  <si>
    <t>Implied 2003A EBITDA Multiple</t>
  </si>
  <si>
    <t>Implied Price / Share</t>
  </si>
  <si>
    <t>Sources</t>
  </si>
  <si>
    <t>Amount</t>
  </si>
  <si>
    <t>%</t>
  </si>
  <si>
    <t>Uses</t>
  </si>
  <si>
    <t>Current Price / Share</t>
  </si>
  <si>
    <t>Purchase Equity</t>
  </si>
  <si>
    <t>Implied Premium</t>
  </si>
  <si>
    <t>Refinance Debt</t>
  </si>
  <si>
    <t>Transaction Fees</t>
  </si>
  <si>
    <t>Cash Used</t>
  </si>
  <si>
    <t>Sponsor Equity</t>
  </si>
  <si>
    <t>Total Sources</t>
  </si>
  <si>
    <t>Total Uses</t>
  </si>
  <si>
    <t>Income Statement</t>
  </si>
  <si>
    <t>Step</t>
  </si>
  <si>
    <t>% Growth</t>
  </si>
  <si>
    <t>% Revenue</t>
  </si>
  <si>
    <t>Gross Profit</t>
  </si>
  <si>
    <t>% Margin</t>
  </si>
  <si>
    <t>G&amp;A (excl. Amortization)</t>
  </si>
  <si>
    <t>Sales &amp; Marketing (excl. Amortization)</t>
  </si>
  <si>
    <t>EBITDA</t>
  </si>
  <si>
    <t>EBIT</t>
  </si>
  <si>
    <t>Financing Fees</t>
  </si>
  <si>
    <t>PIK Interest</t>
  </si>
  <si>
    <t>Cash Interest Expense</t>
  </si>
  <si>
    <t>EBT</t>
  </si>
  <si>
    <t>Taxes</t>
  </si>
  <si>
    <t>Net Income</t>
  </si>
  <si>
    <t>Memo:</t>
  </si>
  <si>
    <t>% D&amp;A</t>
  </si>
  <si>
    <t>Balance Sheet</t>
  </si>
  <si>
    <t>+ / -</t>
  </si>
  <si>
    <t>Goodwill Calculation</t>
  </si>
  <si>
    <t>Assets:</t>
  </si>
  <si>
    <t>Assets</t>
  </si>
  <si>
    <t>Liabilities</t>
  </si>
  <si>
    <t>Prior Goodwill</t>
  </si>
  <si>
    <t>Net Tangible Assets</t>
  </si>
  <si>
    <t>New Goodwill</t>
  </si>
  <si>
    <t>Unamortized Financing Fees</t>
  </si>
  <si>
    <t>Liabilities &amp; SE:</t>
  </si>
  <si>
    <t>New Revolver</t>
  </si>
  <si>
    <t>Total Liabilities &amp; SE</t>
  </si>
  <si>
    <t>Check</t>
  </si>
  <si>
    <t>x</t>
  </si>
  <si>
    <t>Working Capital</t>
  </si>
  <si>
    <t>Days Accounts Receivable</t>
  </si>
  <si>
    <t>Days Inventory</t>
  </si>
  <si>
    <t>Other Current Assets % Revenue</t>
  </si>
  <si>
    <t>Days Accounts Payable</t>
  </si>
  <si>
    <t>Accrued Expenses % COGS</t>
  </si>
  <si>
    <t>Taxes Payable % COGS</t>
  </si>
  <si>
    <t>Other Current Liabilities % COGS</t>
  </si>
  <si>
    <t>NWC</t>
  </si>
  <si>
    <t>(Increase) / Decrease in NWC</t>
  </si>
  <si>
    <t>Statement of Cash Flows</t>
  </si>
  <si>
    <t>Plus: D&amp;A</t>
  </si>
  <si>
    <t>Plus: Amortized Financing Fees</t>
  </si>
  <si>
    <t>Plus: PIK Interest</t>
  </si>
  <si>
    <t>Less: Increase in NWC</t>
  </si>
  <si>
    <t>Operating Cash Flows</t>
  </si>
  <si>
    <t>Investing Cash Flows</t>
  </si>
  <si>
    <t>Share Issuance</t>
  </si>
  <si>
    <t>Share Repurchase</t>
  </si>
  <si>
    <t>Dividends</t>
  </si>
  <si>
    <t>Cash Available for Debt Paydown</t>
  </si>
  <si>
    <t>Total Debt Paydown</t>
  </si>
  <si>
    <t>Beginning Cash</t>
  </si>
  <si>
    <t>Change in Cash</t>
  </si>
  <si>
    <t>Ending Cash</t>
  </si>
  <si>
    <t>Debt Schedule</t>
  </si>
  <si>
    <t>FCF Available for Debt Paydown</t>
  </si>
  <si>
    <t>Minimum Cash</t>
  </si>
  <si>
    <t>Total FCF Available for Debt Paydown</t>
  </si>
  <si>
    <t>Revolver:</t>
  </si>
  <si>
    <t>Beginning</t>
  </si>
  <si>
    <t>Paydown</t>
  </si>
  <si>
    <t>Ending</t>
  </si>
  <si>
    <t>Bank Debt:</t>
  </si>
  <si>
    <t>Sub Debt:</t>
  </si>
  <si>
    <t>PIK Sub Debt:</t>
  </si>
  <si>
    <t>Cash:</t>
  </si>
  <si>
    <t>Cash Interest Income</t>
  </si>
  <si>
    <t>Total Debt</t>
  </si>
  <si>
    <t>Total Interest Expense</t>
  </si>
  <si>
    <t>Net Debt</t>
  </si>
  <si>
    <t>Net Interest Expense</t>
  </si>
  <si>
    <t>Credit Stats:</t>
  </si>
  <si>
    <t>Total Debt / EBITDA</t>
  </si>
  <si>
    <t>EBITDA / Total Cash Interest Expense</t>
  </si>
  <si>
    <t>Net Debt / EBITDA</t>
  </si>
  <si>
    <t>EBITDA / Net Cash Interest Expense</t>
  </si>
  <si>
    <t>Additional Schedules</t>
  </si>
  <si>
    <t>Shares:</t>
  </si>
  <si>
    <t>Plus: Issued</t>
  </si>
  <si>
    <t>Less: Repurchased</t>
  </si>
  <si>
    <t>Sponsor Shares</t>
  </si>
  <si>
    <t>Non-Sponsor Shares</t>
  </si>
  <si>
    <t>Sponsor Ownership %</t>
  </si>
  <si>
    <t>Dividends:</t>
  </si>
  <si>
    <t>Sponsor Dividends</t>
  </si>
  <si>
    <t>Non-Sponsor Dividends</t>
  </si>
  <si>
    <t>Total Dividends</t>
  </si>
  <si>
    <t>Shareholder Equity:</t>
  </si>
  <si>
    <t>Plus: Net Income</t>
  </si>
  <si>
    <t>Plus: Issuance</t>
  </si>
  <si>
    <t>Less: Repurchase</t>
  </si>
  <si>
    <t>Less: Dividends</t>
  </si>
  <si>
    <t>LBO Returns Analysis</t>
  </si>
  <si>
    <t>LBO Implied Share Price</t>
  </si>
  <si>
    <t>Sponsor Investment</t>
  </si>
  <si>
    <t>Discounted Cash Flows Analysis</t>
  </si>
  <si>
    <t>DCF Implied Share Price</t>
  </si>
  <si>
    <t>WACC</t>
  </si>
  <si>
    <t>Less: Capex</t>
  </si>
  <si>
    <t>Exit Mult</t>
  </si>
  <si>
    <t>Less: Taxes</t>
  </si>
  <si>
    <t>UFCF</t>
  </si>
  <si>
    <t>TY Multiple</t>
  </si>
  <si>
    <t>TY Value</t>
  </si>
  <si>
    <t>PV of TY Value</t>
  </si>
  <si>
    <t>PV of UFCF</t>
  </si>
  <si>
    <t>Total Enterprise Value</t>
  </si>
  <si>
    <t>Takeout Share Priceq</t>
  </si>
  <si>
    <t xml:space="preserve"> </t>
  </si>
  <si>
    <t>Full LBO</t>
  </si>
  <si>
    <t>Prompt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</si>
</sst>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\x"/>
    <numFmt numFmtId="168" formatCode="0.0&quot;x&quot;"/>
    <numFmt numFmtId="169" formatCode="#,##0.0_);\(#,##0.0\)"/>
    <numFmt numFmtId="170" formatCode="&quot;$&quot;#,##0.0_);\(&quot;$&quot;#,##0.0\)"/>
    <numFmt numFmtId="171" formatCode="&quot;Yes&quot;;;&quot;No&quot;"/>
    <numFmt numFmtId="172" formatCode="0000&quot;E&quot;"/>
    <numFmt numFmtId="173" formatCode="0000&quot;PF&quot;"/>
    <numFmt numFmtId="174" formatCode="#,##0.000_);\(#,##0.000\)"/>
    <numFmt numFmtId="175" formatCode=";;;"/>
    <numFmt numFmtId="176" formatCode="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00FF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rgb="FF19EFC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ABBF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2ABBFC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7" fontId="3" fillId="0" borderId="0" xfId="0" applyNumberFormat="1" applyFont="1" applyAlignment="1">
      <alignment horizontal="right"/>
    </xf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7" fontId="2" fillId="0" borderId="4" xfId="0" applyNumberFormat="1" applyFont="1" applyBorder="1"/>
    <xf numFmtId="7" fontId="2" fillId="0" borderId="5" xfId="0" applyNumberFormat="1" applyFont="1" applyBorder="1"/>
    <xf numFmtId="20" fontId="6" fillId="0" borderId="0" xfId="0" applyNumberFormat="1" applyFont="1"/>
    <xf numFmtId="168" fontId="3" fillId="0" borderId="0" xfId="0" applyNumberFormat="1" applyFont="1"/>
    <xf numFmtId="0" fontId="6" fillId="0" borderId="0" xfId="0" applyFont="1"/>
    <xf numFmtId="165" fontId="6" fillId="0" borderId="0" xfId="0" applyNumberFormat="1" applyFont="1"/>
    <xf numFmtId="168" fontId="6" fillId="0" borderId="0" xfId="0" applyNumberFormat="1" applyFont="1"/>
    <xf numFmtId="168" fontId="3" fillId="0" borderId="0" xfId="0" applyNumberFormat="1" applyFont="1" applyAlignment="1">
      <alignment horizontal="right"/>
    </xf>
    <xf numFmtId="0" fontId="3" fillId="0" borderId="6" xfId="0" applyFont="1" applyBorder="1"/>
    <xf numFmtId="16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9" fontId="3" fillId="0" borderId="0" xfId="0" applyNumberFormat="1" applyFont="1"/>
    <xf numFmtId="169" fontId="6" fillId="0" borderId="0" xfId="0" applyNumberFormat="1" applyFont="1"/>
    <xf numFmtId="0" fontId="2" fillId="0" borderId="6" xfId="0" applyFont="1" applyBorder="1"/>
    <xf numFmtId="169" fontId="2" fillId="0" borderId="6" xfId="0" applyNumberFormat="1" applyFont="1" applyBorder="1"/>
    <xf numFmtId="171" fontId="6" fillId="0" borderId="0" xfId="0" applyNumberFormat="1" applyFont="1"/>
    <xf numFmtId="168" fontId="5" fillId="0" borderId="0" xfId="0" applyNumberFormat="1" applyFont="1"/>
    <xf numFmtId="0" fontId="3" fillId="2" borderId="0" xfId="0" applyFont="1" applyFill="1"/>
    <xf numFmtId="169" fontId="3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8" fontId="2" fillId="0" borderId="6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3" fillId="0" borderId="0" xfId="0" applyNumberFormat="1" applyFont="1"/>
    <xf numFmtId="169" fontId="5" fillId="0" borderId="0" xfId="0" applyNumberFormat="1" applyFont="1"/>
    <xf numFmtId="165" fontId="7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9" fontId="2" fillId="0" borderId="0" xfId="0" applyNumberFormat="1" applyFont="1"/>
    <xf numFmtId="0" fontId="2" fillId="0" borderId="0" xfId="0" applyFont="1" applyAlignment="1">
      <alignment horizontal="right"/>
    </xf>
    <xf numFmtId="0" fontId="8" fillId="0" borderId="0" xfId="0" applyFont="1"/>
    <xf numFmtId="169" fontId="3" fillId="2" borderId="0" xfId="0" applyNumberFormat="1" applyFont="1" applyFill="1"/>
    <xf numFmtId="169" fontId="3" fillId="3" borderId="0" xfId="0" applyNumberFormat="1" applyFont="1" applyFill="1"/>
    <xf numFmtId="169" fontId="9" fillId="0" borderId="0" xfId="0" applyNumberFormat="1" applyFont="1"/>
    <xf numFmtId="0" fontId="1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4" xfId="0" quotePrefix="1" applyFont="1" applyFill="1" applyBorder="1" applyAlignment="1">
      <alignment horizontal="right"/>
    </xf>
    <xf numFmtId="173" fontId="2" fillId="2" borderId="0" xfId="0" applyNumberFormat="1" applyFont="1" applyFill="1"/>
    <xf numFmtId="172" fontId="2" fillId="2" borderId="0" xfId="0" applyNumberFormat="1" applyFont="1" applyFill="1"/>
    <xf numFmtId="169" fontId="3" fillId="0" borderId="14" xfId="0" applyNumberFormat="1" applyFont="1" applyBorder="1" applyAlignment="1">
      <alignment horizontal="right"/>
    </xf>
    <xf numFmtId="169" fontId="2" fillId="0" borderId="14" xfId="0" applyNumberFormat="1" applyFont="1" applyBorder="1"/>
    <xf numFmtId="169" fontId="3" fillId="0" borderId="14" xfId="0" applyNumberFormat="1" applyFont="1" applyBorder="1"/>
    <xf numFmtId="169" fontId="2" fillId="0" borderId="14" xfId="0" applyNumberFormat="1" applyFont="1" applyBorder="1" applyAlignment="1">
      <alignment horizontal="right"/>
    </xf>
    <xf numFmtId="169" fontId="10" fillId="0" borderId="0" xfId="0" applyNumberFormat="1" applyFont="1"/>
    <xf numFmtId="0" fontId="11" fillId="0" borderId="0" xfId="0" applyFont="1"/>
    <xf numFmtId="169" fontId="11" fillId="0" borderId="0" xfId="0" applyNumberFormat="1" applyFont="1"/>
    <xf numFmtId="174" fontId="11" fillId="0" borderId="0" xfId="0" applyNumberFormat="1" applyFont="1"/>
    <xf numFmtId="174" fontId="11" fillId="0" borderId="14" xfId="0" applyNumberFormat="1" applyFont="1" applyBorder="1"/>
    <xf numFmtId="0" fontId="11" fillId="0" borderId="0" xfId="0" applyFont="1" applyAlignment="1">
      <alignment horizontal="right"/>
    </xf>
    <xf numFmtId="172" fontId="3" fillId="0" borderId="0" xfId="0" applyNumberFormat="1" applyFont="1" applyAlignment="1">
      <alignment horizontal="right"/>
    </xf>
    <xf numFmtId="169" fontId="2" fillId="2" borderId="0" xfId="0" applyNumberFormat="1" applyFont="1" applyFill="1"/>
    <xf numFmtId="170" fontId="2" fillId="0" borderId="0" xfId="0" applyNumberFormat="1" applyFont="1"/>
    <xf numFmtId="172" fontId="3" fillId="2" borderId="0" xfId="0" applyNumberFormat="1" applyFont="1" applyFill="1"/>
    <xf numFmtId="175" fontId="3" fillId="0" borderId="0" xfId="0" applyNumberFormat="1" applyFont="1"/>
    <xf numFmtId="168" fontId="2" fillId="0" borderId="0" xfId="0" applyNumberFormat="1" applyFont="1"/>
    <xf numFmtId="7" fontId="3" fillId="0" borderId="0" xfId="0" applyNumberFormat="1" applyFont="1"/>
    <xf numFmtId="7" fontId="3" fillId="0" borderId="16" xfId="0" applyNumberFormat="1" applyFont="1" applyBorder="1"/>
    <xf numFmtId="7" fontId="3" fillId="0" borderId="6" xfId="0" applyNumberFormat="1" applyFont="1" applyBorder="1"/>
    <xf numFmtId="7" fontId="3" fillId="0" borderId="17" xfId="0" applyNumberFormat="1" applyFont="1" applyBorder="1"/>
    <xf numFmtId="168" fontId="12" fillId="0" borderId="0" xfId="0" applyNumberFormat="1" applyFont="1"/>
    <xf numFmtId="7" fontId="3" fillId="0" borderId="18" xfId="0" applyNumberFormat="1" applyFont="1" applyBorder="1"/>
    <xf numFmtId="7" fontId="3" fillId="0" borderId="19" xfId="0" applyNumberFormat="1" applyFont="1" applyBorder="1"/>
    <xf numFmtId="165" fontId="3" fillId="0" borderId="20" xfId="0" applyNumberFormat="1" applyFont="1" applyBorder="1"/>
    <xf numFmtId="7" fontId="3" fillId="0" borderId="21" xfId="0" applyNumberFormat="1" applyFont="1" applyBorder="1"/>
    <xf numFmtId="7" fontId="3" fillId="0" borderId="2" xfId="0" applyNumberFormat="1" applyFont="1" applyBorder="1"/>
    <xf numFmtId="7" fontId="3" fillId="0" borderId="22" xfId="0" applyNumberFormat="1" applyFont="1" applyBorder="1"/>
    <xf numFmtId="176" fontId="6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left"/>
    </xf>
    <xf numFmtId="169" fontId="2" fillId="0" borderId="7" xfId="0" applyNumberFormat="1" applyFont="1" applyBorder="1"/>
    <xf numFmtId="169" fontId="2" fillId="0" borderId="8" xfId="0" applyNumberFormat="1" applyFont="1" applyBorder="1"/>
    <xf numFmtId="169" fontId="3" fillId="0" borderId="12" xfId="0" applyNumberFormat="1" applyFont="1" applyBorder="1"/>
    <xf numFmtId="169" fontId="5" fillId="0" borderId="10" xfId="0" applyNumberFormat="1" applyFont="1" applyBorder="1"/>
    <xf numFmtId="169" fontId="5" fillId="0" borderId="1" xfId="0" applyNumberFormat="1" applyFont="1" applyBorder="1"/>
    <xf numFmtId="165" fontId="5" fillId="0" borderId="11" xfId="0" applyNumberFormat="1" applyFont="1" applyBorder="1"/>
    <xf numFmtId="0" fontId="2" fillId="0" borderId="7" xfId="0" applyFont="1" applyBorder="1"/>
    <xf numFmtId="0" fontId="2" fillId="0" borderId="8" xfId="0" applyFont="1" applyBorder="1"/>
    <xf numFmtId="165" fontId="2" fillId="0" borderId="9" xfId="0" applyNumberFormat="1" applyFont="1" applyBorder="1"/>
    <xf numFmtId="0" fontId="2" fillId="0" borderId="10" xfId="0" applyFont="1" applyBorder="1"/>
    <xf numFmtId="0" fontId="2" fillId="0" borderId="1" xfId="0" applyFont="1" applyBorder="1"/>
    <xf numFmtId="168" fontId="2" fillId="0" borderId="11" xfId="0" applyNumberFormat="1" applyFont="1" applyBorder="1"/>
    <xf numFmtId="7" fontId="2" fillId="0" borderId="9" xfId="0" applyNumberFormat="1" applyFont="1" applyBorder="1"/>
    <xf numFmtId="0" fontId="2" fillId="2" borderId="12" xfId="0" applyFont="1" applyFill="1" applyBorder="1"/>
    <xf numFmtId="7" fontId="2" fillId="0" borderId="13" xfId="0" applyNumberFormat="1" applyFont="1" applyBorder="1"/>
    <xf numFmtId="0" fontId="8" fillId="0" borderId="10" xfId="0" applyFont="1" applyBorder="1"/>
    <xf numFmtId="0" fontId="8" fillId="2" borderId="1" xfId="0" applyFont="1" applyFill="1" applyBorder="1"/>
    <xf numFmtId="165" fontId="8" fillId="2" borderId="11" xfId="0" applyNumberFormat="1" applyFont="1" applyFill="1" applyBorder="1"/>
    <xf numFmtId="0" fontId="13" fillId="0" borderId="0" xfId="0" applyFont="1"/>
    <xf numFmtId="0" fontId="13" fillId="0" borderId="1" xfId="0" applyFont="1" applyBorder="1"/>
    <xf numFmtId="44" fontId="13" fillId="0" borderId="0" xfId="2" applyFont="1"/>
    <xf numFmtId="164" fontId="13" fillId="0" borderId="0" xfId="2" applyNumberFormat="1" applyFont="1"/>
    <xf numFmtId="9" fontId="13" fillId="0" borderId="0" xfId="3" applyFont="1"/>
    <xf numFmtId="167" fontId="13" fillId="0" borderId="0" xfId="0" applyNumberFormat="1" applyFont="1"/>
    <xf numFmtId="0" fontId="13" fillId="0" borderId="2" xfId="0" applyFont="1" applyBorder="1"/>
    <xf numFmtId="167" fontId="13" fillId="0" borderId="2" xfId="0" applyNumberFormat="1" applyFont="1" applyBorder="1"/>
    <xf numFmtId="9" fontId="13" fillId="0" borderId="2" xfId="3" applyFont="1" applyBorder="1"/>
    <xf numFmtId="165" fontId="13" fillId="0" borderId="0" xfId="3" applyNumberFormat="1" applyFont="1"/>
    <xf numFmtId="166" fontId="13" fillId="0" borderId="0" xfId="1" applyNumberFormat="1" applyFont="1"/>
    <xf numFmtId="44" fontId="13" fillId="0" borderId="1" xfId="2" applyFont="1" applyBorder="1"/>
    <xf numFmtId="166" fontId="13" fillId="0" borderId="2" xfId="1" applyNumberFormat="1" applyFont="1" applyBorder="1"/>
    <xf numFmtId="166" fontId="13" fillId="0" borderId="1" xfId="1" applyNumberFormat="1" applyFont="1" applyBorder="1"/>
    <xf numFmtId="168" fontId="6" fillId="4" borderId="0" xfId="0" applyNumberFormat="1" applyFont="1" applyFill="1"/>
    <xf numFmtId="0" fontId="6" fillId="4" borderId="0" xfId="0" applyFont="1" applyFill="1"/>
    <xf numFmtId="165" fontId="6" fillId="4" borderId="0" xfId="0" applyNumberFormat="1" applyFont="1" applyFill="1"/>
    <xf numFmtId="170" fontId="6" fillId="4" borderId="0" xfId="0" applyNumberFormat="1" applyFont="1" applyFill="1"/>
    <xf numFmtId="169" fontId="6" fillId="4" borderId="0" xfId="0" applyNumberFormat="1" applyFont="1" applyFill="1"/>
    <xf numFmtId="171" fontId="6" fillId="4" borderId="0" xfId="0" applyNumberFormat="1" applyFont="1" applyFill="1"/>
    <xf numFmtId="168" fontId="6" fillId="4" borderId="0" xfId="0" applyNumberFormat="1" applyFont="1" applyFill="1" applyAlignment="1">
      <alignment horizontal="right"/>
    </xf>
    <xf numFmtId="168" fontId="6" fillId="4" borderId="6" xfId="0" applyNumberFormat="1" applyFont="1" applyFill="1" applyBorder="1" applyAlignment="1">
      <alignment horizontal="right"/>
    </xf>
    <xf numFmtId="165" fontId="7" fillId="4" borderId="0" xfId="0" applyNumberFormat="1" applyFont="1" applyFill="1"/>
    <xf numFmtId="39" fontId="2" fillId="0" borderId="9" xfId="0" applyNumberFormat="1" applyFont="1" applyBorder="1"/>
    <xf numFmtId="39" fontId="3" fillId="0" borderId="13" xfId="0" applyNumberFormat="1" applyFont="1" applyBorder="1"/>
    <xf numFmtId="165" fontId="2" fillId="3" borderId="15" xfId="0" applyNumberFormat="1" applyFont="1" applyFill="1" applyBorder="1"/>
    <xf numFmtId="168" fontId="2" fillId="3" borderId="15" xfId="0" applyNumberFormat="1" applyFont="1" applyFill="1" applyBorder="1"/>
    <xf numFmtId="165" fontId="2" fillId="0" borderId="8" xfId="0" applyNumberFormat="1" applyFont="1" applyBorder="1"/>
    <xf numFmtId="169" fontId="2" fillId="0" borderId="10" xfId="0" applyNumberFormat="1" applyFont="1" applyBorder="1"/>
    <xf numFmtId="169" fontId="2" fillId="0" borderId="1" xfId="0" applyNumberFormat="1" applyFont="1" applyBorder="1"/>
    <xf numFmtId="168" fontId="2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5" fillId="0" borderId="23" xfId="0" applyFont="1" applyBorder="1"/>
    <xf numFmtId="0" fontId="13" fillId="0" borderId="23" xfId="0" applyFont="1" applyBorder="1"/>
    <xf numFmtId="0" fontId="15" fillId="0" borderId="2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23" xfId="0" applyFont="1" applyBorder="1"/>
    <xf numFmtId="0" fontId="16" fillId="0" borderId="23" xfId="0" applyFont="1" applyBorder="1"/>
    <xf numFmtId="0" fontId="4" fillId="5" borderId="0" xfId="0" applyFont="1" applyFill="1"/>
    <xf numFmtId="0" fontId="19" fillId="0" borderId="0" xfId="0" applyFont="1"/>
    <xf numFmtId="0" fontId="4" fillId="5" borderId="0" xfId="0" applyFont="1" applyFill="1" applyAlignment="1">
      <alignment horizontal="center"/>
    </xf>
    <xf numFmtId="0" fontId="4" fillId="5" borderId="2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532185</xdr:colOff>
      <xdr:row>0</xdr:row>
      <xdr:rowOff>38298</xdr:rowOff>
    </xdr:from>
    <xdr:to>
      <xdr:col>15</xdr:col>
      <xdr:colOff>226360</xdr:colOff>
      <xdr:row>5</xdr:row>
      <xdr:rowOff>58234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82DB89-A56A-4735-B03C-DB78019441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7068950" y="38298"/>
          <a:ext cx="3033528" cy="931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617991</xdr:colOff>
      <xdr:row>0</xdr:row>
      <xdr:rowOff>46851</xdr:rowOff>
    </xdr:from>
    <xdr:to>
      <xdr:col>12</xdr:col>
      <xdr:colOff>174715</xdr:colOff>
      <xdr:row>5</xdr:row>
      <xdr:rowOff>16519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2C030D-A6C7-4277-9F86-82900BCE09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5575581" y="46851"/>
          <a:ext cx="2280339" cy="79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B08F-7F64-419D-8701-DB8344F89371}">
  <dimension ref="A1:O92"/>
  <sheetViews>
    <sheetView showGridLines="0" tabSelected="1" zoomScale="85" workbookViewId="0"/>
  </sheetViews>
  <sheetFormatPr defaultColWidth="8.7109375" defaultRowHeight="14.25" x14ac:dyDescent="0.2"/>
  <cols>
    <col min="1" max="1" width="2.85546875" style="98" customWidth="1"/>
    <col min="2" max="7" width="8.7109375" style="98"/>
    <col min="8" max="8" width="11.85546875" style="98" bestFit="1" customWidth="1"/>
    <col min="9" max="13" width="8.7109375" style="98"/>
    <col min="14" max="14" width="21.5703125" style="98" bestFit="1" customWidth="1"/>
    <col min="15" max="16384" width="8.7109375" style="98"/>
  </cols>
  <sheetData>
    <row r="1" spans="1:15" x14ac:dyDescent="0.2">
      <c r="A1" s="98" t="s">
        <v>224</v>
      </c>
    </row>
    <row r="3" spans="1:15" ht="15" x14ac:dyDescent="0.25">
      <c r="B3" s="132" t="s">
        <v>225</v>
      </c>
    </row>
    <row r="4" spans="1:15" ht="15" x14ac:dyDescent="0.25">
      <c r="L4"/>
    </row>
    <row r="5" spans="1:15" ht="15.75" thickBot="1" x14ac:dyDescent="0.3"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5" ht="15" thickTop="1" x14ac:dyDescent="0.2"/>
    <row r="8" spans="1:15" ht="15" x14ac:dyDescent="0.25">
      <c r="B8" s="135" t="s">
        <v>226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10" spans="1:15" x14ac:dyDescent="0.2">
      <c r="B10" s="98">
        <v>1</v>
      </c>
      <c r="C10" s="98" t="s">
        <v>0</v>
      </c>
    </row>
    <row r="11" spans="1:15" x14ac:dyDescent="0.2">
      <c r="B11" s="98">
        <v>2</v>
      </c>
      <c r="C11" s="98" t="s">
        <v>1</v>
      </c>
    </row>
    <row r="12" spans="1:15" x14ac:dyDescent="0.2">
      <c r="B12" s="98">
        <v>3</v>
      </c>
      <c r="C12" s="98" t="s">
        <v>2</v>
      </c>
    </row>
    <row r="15" spans="1:15" ht="15" x14ac:dyDescent="0.25">
      <c r="C15" s="129" t="s">
        <v>3</v>
      </c>
      <c r="J15" s="129" t="s">
        <v>58</v>
      </c>
    </row>
    <row r="16" spans="1:15" ht="15" x14ac:dyDescent="0.25">
      <c r="J16" s="129"/>
    </row>
    <row r="17" spans="3:14" ht="15.75" thickBot="1" x14ac:dyDescent="0.3">
      <c r="H17" s="130" t="s">
        <v>49</v>
      </c>
      <c r="J17" s="99"/>
      <c r="K17" s="99"/>
      <c r="L17" s="99"/>
      <c r="M17" s="99"/>
      <c r="N17" s="99"/>
    </row>
    <row r="18" spans="3:14" ht="15.75" thickBot="1" x14ac:dyDescent="0.3">
      <c r="C18" s="99"/>
      <c r="D18" s="99"/>
      <c r="E18" s="99"/>
      <c r="F18" s="99"/>
      <c r="G18" s="99"/>
      <c r="H18" s="131"/>
      <c r="J18" s="98" t="s">
        <v>50</v>
      </c>
      <c r="M18" s="100">
        <v>20</v>
      </c>
    </row>
    <row r="19" spans="3:14" x14ac:dyDescent="0.2">
      <c r="C19" s="98" t="s">
        <v>4</v>
      </c>
      <c r="H19" s="101">
        <v>15000</v>
      </c>
    </row>
    <row r="20" spans="3:14" ht="15" x14ac:dyDescent="0.25">
      <c r="C20" s="98" t="s">
        <v>5</v>
      </c>
      <c r="H20" s="102">
        <v>0.12</v>
      </c>
      <c r="J20" s="129" t="s">
        <v>51</v>
      </c>
      <c r="K20" s="129"/>
      <c r="L20" s="129"/>
      <c r="M20" s="130" t="s">
        <v>52</v>
      </c>
      <c r="N20" s="130" t="s">
        <v>53</v>
      </c>
    </row>
    <row r="21" spans="3:14" x14ac:dyDescent="0.2">
      <c r="J21" s="98" t="s">
        <v>54</v>
      </c>
      <c r="M21" s="103">
        <v>3</v>
      </c>
      <c r="N21" s="102">
        <v>0.02</v>
      </c>
    </row>
    <row r="22" spans="3:14" x14ac:dyDescent="0.2">
      <c r="C22" s="98" t="s">
        <v>6</v>
      </c>
      <c r="H22" s="101">
        <v>6500</v>
      </c>
      <c r="J22" s="98" t="s">
        <v>55</v>
      </c>
      <c r="M22" s="103">
        <v>2</v>
      </c>
      <c r="N22" s="102">
        <v>0.03</v>
      </c>
    </row>
    <row r="23" spans="3:14" x14ac:dyDescent="0.2">
      <c r="C23" s="98" t="s">
        <v>59</v>
      </c>
      <c r="H23" s="102">
        <f>H22/H19</f>
        <v>0.43333333333333335</v>
      </c>
      <c r="J23" s="104" t="s">
        <v>56</v>
      </c>
      <c r="K23" s="104"/>
      <c r="L23" s="104"/>
      <c r="M23" s="105">
        <v>2</v>
      </c>
      <c r="N23" s="106">
        <v>0.03</v>
      </c>
    </row>
    <row r="24" spans="3:14" x14ac:dyDescent="0.2">
      <c r="J24" s="98" t="s">
        <v>57</v>
      </c>
      <c r="M24" s="103">
        <f>+SUM(M21:M23)</f>
        <v>7</v>
      </c>
    </row>
    <row r="25" spans="3:14" x14ac:dyDescent="0.2">
      <c r="C25" s="98" t="s">
        <v>7</v>
      </c>
      <c r="H25" s="101">
        <v>1250</v>
      </c>
    </row>
    <row r="26" spans="3:14" x14ac:dyDescent="0.2">
      <c r="C26" s="98" t="s">
        <v>8</v>
      </c>
      <c r="H26" s="102">
        <f>H25/H19</f>
        <v>8.3333333333333329E-2</v>
      </c>
    </row>
    <row r="28" spans="3:14" x14ac:dyDescent="0.2">
      <c r="C28" s="98" t="s">
        <v>9</v>
      </c>
      <c r="H28" s="101">
        <v>600</v>
      </c>
    </row>
    <row r="29" spans="3:14" x14ac:dyDescent="0.2">
      <c r="C29" s="98" t="s">
        <v>10</v>
      </c>
      <c r="H29" s="102">
        <f>H28/H19</f>
        <v>0.04</v>
      </c>
    </row>
    <row r="31" spans="3:14" x14ac:dyDescent="0.2">
      <c r="C31" s="98" t="s">
        <v>11</v>
      </c>
      <c r="H31" s="101">
        <v>750</v>
      </c>
    </row>
    <row r="32" spans="3:14" x14ac:dyDescent="0.2">
      <c r="C32" s="98" t="s">
        <v>8</v>
      </c>
      <c r="H32" s="102">
        <v>0.05</v>
      </c>
    </row>
    <row r="34" spans="3:8" x14ac:dyDescent="0.2">
      <c r="C34" s="98" t="s">
        <v>12</v>
      </c>
      <c r="H34" s="101">
        <v>10</v>
      </c>
    </row>
    <row r="35" spans="3:8" x14ac:dyDescent="0.2">
      <c r="H35" s="102"/>
    </row>
    <row r="36" spans="3:8" x14ac:dyDescent="0.2">
      <c r="C36" s="98" t="s">
        <v>13</v>
      </c>
      <c r="H36" s="101">
        <v>1000</v>
      </c>
    </row>
    <row r="37" spans="3:8" x14ac:dyDescent="0.2">
      <c r="C37" s="98" t="s">
        <v>5</v>
      </c>
      <c r="H37" s="102">
        <v>0</v>
      </c>
    </row>
    <row r="38" spans="3:8" ht="15" thickBot="1" x14ac:dyDescent="0.25">
      <c r="C38" s="99"/>
      <c r="D38" s="99"/>
      <c r="E38" s="99"/>
      <c r="F38" s="99"/>
      <c r="G38" s="99"/>
      <c r="H38" s="99"/>
    </row>
    <row r="39" spans="3:8" x14ac:dyDescent="0.2">
      <c r="H39" s="102"/>
    </row>
    <row r="41" spans="3:8" ht="15" x14ac:dyDescent="0.25">
      <c r="C41" s="129" t="s">
        <v>14</v>
      </c>
    </row>
    <row r="43" spans="3:8" ht="15" x14ac:dyDescent="0.25">
      <c r="H43" s="130" t="s">
        <v>49</v>
      </c>
    </row>
    <row r="44" spans="3:8" ht="15.75" thickBot="1" x14ac:dyDescent="0.3">
      <c r="C44" s="99"/>
      <c r="D44" s="99"/>
      <c r="E44" s="99"/>
      <c r="F44" s="99"/>
      <c r="G44" s="99"/>
      <c r="H44" s="131"/>
    </row>
    <row r="45" spans="3:8" x14ac:dyDescent="0.2">
      <c r="C45" s="98" t="s">
        <v>15</v>
      </c>
      <c r="H45" s="107">
        <v>9.5000000000000001E-2</v>
      </c>
    </row>
    <row r="46" spans="3:8" x14ac:dyDescent="0.2">
      <c r="C46" s="98" t="s">
        <v>16</v>
      </c>
      <c r="H46" s="107">
        <v>0.1</v>
      </c>
    </row>
    <row r="47" spans="3:8" x14ac:dyDescent="0.2">
      <c r="C47" s="98" t="s">
        <v>17</v>
      </c>
      <c r="H47" s="107">
        <v>4.4999999999999998E-2</v>
      </c>
    </row>
    <row r="48" spans="3:8" x14ac:dyDescent="0.2">
      <c r="C48" s="98" t="s">
        <v>18</v>
      </c>
      <c r="H48" s="101">
        <v>300</v>
      </c>
    </row>
    <row r="50" spans="3:8" x14ac:dyDescent="0.2">
      <c r="C50" s="98" t="s">
        <v>19</v>
      </c>
      <c r="H50" s="102">
        <v>0.4</v>
      </c>
    </row>
    <row r="51" spans="3:8" x14ac:dyDescent="0.2">
      <c r="C51" s="98" t="s">
        <v>20</v>
      </c>
      <c r="H51" s="100">
        <v>0.2</v>
      </c>
    </row>
    <row r="52" spans="3:8" x14ac:dyDescent="0.2">
      <c r="C52" s="98" t="s">
        <v>21</v>
      </c>
      <c r="H52" s="108">
        <v>4000000</v>
      </c>
    </row>
    <row r="53" spans="3:8" x14ac:dyDescent="0.2">
      <c r="C53" s="98" t="s">
        <v>22</v>
      </c>
      <c r="H53" s="108">
        <v>10000</v>
      </c>
    </row>
    <row r="54" spans="3:8" x14ac:dyDescent="0.2">
      <c r="C54" s="98" t="s">
        <v>23</v>
      </c>
      <c r="H54" s="108">
        <v>0</v>
      </c>
    </row>
    <row r="55" spans="3:8" x14ac:dyDescent="0.2">
      <c r="C55" s="98" t="s">
        <v>24</v>
      </c>
      <c r="H55" s="100">
        <v>15</v>
      </c>
    </row>
    <row r="56" spans="3:8" x14ac:dyDescent="0.2">
      <c r="C56" s="98" t="s">
        <v>25</v>
      </c>
      <c r="H56" s="100">
        <v>0</v>
      </c>
    </row>
    <row r="57" spans="3:8" ht="15" thickBot="1" x14ac:dyDescent="0.25">
      <c r="C57" s="99"/>
      <c r="D57" s="99"/>
      <c r="E57" s="99"/>
      <c r="F57" s="99"/>
      <c r="G57" s="99"/>
      <c r="H57" s="109"/>
    </row>
    <row r="60" spans="3:8" ht="15" x14ac:dyDescent="0.25">
      <c r="C60" s="129" t="s">
        <v>26</v>
      </c>
    </row>
    <row r="62" spans="3:8" ht="15" x14ac:dyDescent="0.25">
      <c r="H62" s="130" t="s">
        <v>49</v>
      </c>
    </row>
    <row r="63" spans="3:8" ht="15" thickBot="1" x14ac:dyDescent="0.25">
      <c r="C63" s="99"/>
      <c r="D63" s="99"/>
      <c r="E63" s="99"/>
      <c r="F63" s="99"/>
      <c r="G63" s="99"/>
      <c r="H63" s="99"/>
    </row>
    <row r="64" spans="3:8" x14ac:dyDescent="0.2">
      <c r="C64" s="98" t="s">
        <v>27</v>
      </c>
      <c r="H64" s="101">
        <v>350</v>
      </c>
    </row>
    <row r="65" spans="3:8" x14ac:dyDescent="0.2">
      <c r="C65" s="98" t="s">
        <v>28</v>
      </c>
      <c r="H65" s="108">
        <v>2800</v>
      </c>
    </row>
    <row r="66" spans="3:8" x14ac:dyDescent="0.2">
      <c r="C66" s="98" t="s">
        <v>29</v>
      </c>
      <c r="H66" s="108">
        <v>2000</v>
      </c>
    </row>
    <row r="67" spans="3:8" x14ac:dyDescent="0.2">
      <c r="C67" s="104" t="s">
        <v>30</v>
      </c>
      <c r="D67" s="104"/>
      <c r="E67" s="104"/>
      <c r="F67" s="104"/>
      <c r="G67" s="104"/>
      <c r="H67" s="110">
        <v>100</v>
      </c>
    </row>
    <row r="68" spans="3:8" x14ac:dyDescent="0.2">
      <c r="C68" s="98" t="s">
        <v>31</v>
      </c>
      <c r="H68" s="108">
        <v>5250</v>
      </c>
    </row>
    <row r="69" spans="3:8" x14ac:dyDescent="0.2">
      <c r="H69" s="108"/>
    </row>
    <row r="70" spans="3:8" x14ac:dyDescent="0.2">
      <c r="C70" s="98" t="s">
        <v>32</v>
      </c>
      <c r="H70" s="108">
        <v>16000</v>
      </c>
    </row>
    <row r="71" spans="3:8" x14ac:dyDescent="0.2">
      <c r="C71" s="104" t="s">
        <v>33</v>
      </c>
      <c r="D71" s="104"/>
      <c r="E71" s="104"/>
      <c r="F71" s="104"/>
      <c r="G71" s="104"/>
      <c r="H71" s="110">
        <v>-3000</v>
      </c>
    </row>
    <row r="72" spans="3:8" x14ac:dyDescent="0.2">
      <c r="C72" s="98" t="s">
        <v>34</v>
      </c>
      <c r="H72" s="108">
        <v>13000</v>
      </c>
    </row>
    <row r="73" spans="3:8" x14ac:dyDescent="0.2">
      <c r="H73" s="108"/>
    </row>
    <row r="74" spans="3:8" x14ac:dyDescent="0.2">
      <c r="C74" s="98" t="s">
        <v>35</v>
      </c>
      <c r="H74" s="108">
        <v>150</v>
      </c>
    </row>
    <row r="75" spans="3:8" x14ac:dyDescent="0.2">
      <c r="C75" s="104" t="s">
        <v>36</v>
      </c>
      <c r="D75" s="104"/>
      <c r="E75" s="104"/>
      <c r="F75" s="104"/>
      <c r="G75" s="104"/>
      <c r="H75" s="110">
        <v>500</v>
      </c>
    </row>
    <row r="76" spans="3:8" x14ac:dyDescent="0.2">
      <c r="C76" s="98" t="s">
        <v>37</v>
      </c>
      <c r="H76" s="108">
        <v>18900</v>
      </c>
    </row>
    <row r="77" spans="3:8" x14ac:dyDescent="0.2">
      <c r="H77" s="108"/>
    </row>
    <row r="78" spans="3:8" x14ac:dyDescent="0.2">
      <c r="C78" s="98" t="s">
        <v>38</v>
      </c>
      <c r="H78" s="108">
        <v>1200</v>
      </c>
    </row>
    <row r="79" spans="3:8" x14ac:dyDescent="0.2">
      <c r="C79" s="98" t="s">
        <v>39</v>
      </c>
      <c r="H79" s="108">
        <v>400</v>
      </c>
    </row>
    <row r="80" spans="3:8" x14ac:dyDescent="0.2">
      <c r="C80" s="98" t="s">
        <v>40</v>
      </c>
      <c r="H80" s="108">
        <v>350</v>
      </c>
    </row>
    <row r="81" spans="3:8" x14ac:dyDescent="0.2">
      <c r="C81" s="104" t="s">
        <v>41</v>
      </c>
      <c r="D81" s="104"/>
      <c r="E81" s="104"/>
      <c r="F81" s="104"/>
      <c r="G81" s="104"/>
      <c r="H81" s="110">
        <v>200</v>
      </c>
    </row>
    <row r="82" spans="3:8" x14ac:dyDescent="0.2">
      <c r="C82" s="98" t="s">
        <v>42</v>
      </c>
      <c r="H82" s="108">
        <v>2150</v>
      </c>
    </row>
    <row r="83" spans="3:8" x14ac:dyDescent="0.2">
      <c r="H83" s="108"/>
    </row>
    <row r="84" spans="3:8" x14ac:dyDescent="0.2">
      <c r="C84" s="98" t="s">
        <v>43</v>
      </c>
      <c r="H84" s="108">
        <v>3100</v>
      </c>
    </row>
    <row r="85" spans="3:8" x14ac:dyDescent="0.2">
      <c r="C85" s="98" t="s">
        <v>44</v>
      </c>
      <c r="H85" s="108">
        <v>8000</v>
      </c>
    </row>
    <row r="86" spans="3:8" x14ac:dyDescent="0.2">
      <c r="C86" s="104" t="s">
        <v>45</v>
      </c>
      <c r="D86" s="104"/>
      <c r="E86" s="104"/>
      <c r="F86" s="104"/>
      <c r="G86" s="104"/>
      <c r="H86" s="110">
        <v>400</v>
      </c>
    </row>
    <row r="87" spans="3:8" x14ac:dyDescent="0.2">
      <c r="C87" s="98" t="s">
        <v>46</v>
      </c>
      <c r="H87" s="108">
        <v>13650</v>
      </c>
    </row>
    <row r="88" spans="3:8" x14ac:dyDescent="0.2">
      <c r="H88" s="108"/>
    </row>
    <row r="89" spans="3:8" x14ac:dyDescent="0.2">
      <c r="C89" s="98" t="s">
        <v>47</v>
      </c>
      <c r="H89" s="108">
        <v>5250</v>
      </c>
    </row>
    <row r="90" spans="3:8" x14ac:dyDescent="0.2">
      <c r="H90" s="108"/>
    </row>
    <row r="91" spans="3:8" x14ac:dyDescent="0.2">
      <c r="C91" s="98" t="s">
        <v>48</v>
      </c>
      <c r="H91" s="108">
        <v>18900</v>
      </c>
    </row>
    <row r="92" spans="3:8" ht="15" thickBot="1" x14ac:dyDescent="0.25">
      <c r="C92" s="99"/>
      <c r="D92" s="99"/>
      <c r="E92" s="99"/>
      <c r="F92" s="99"/>
      <c r="G92" s="99"/>
      <c r="H92" s="1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16D7-3238-40F9-A5C5-9D925A2867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008D-6889-48A5-A546-2FAADD8134CF}">
  <dimension ref="A1:V303"/>
  <sheetViews>
    <sheetView showGridLines="0" zoomScale="83" workbookViewId="0"/>
  </sheetViews>
  <sheetFormatPr defaultColWidth="9.7109375" defaultRowHeight="12.75" x14ac:dyDescent="0.2"/>
  <cols>
    <col min="1" max="1" width="2.7109375" style="2" bestFit="1" customWidth="1"/>
    <col min="2" max="12" width="9.7109375" style="2"/>
    <col min="13" max="13" width="3.28515625" style="3" bestFit="1" customWidth="1"/>
    <col min="14" max="16384" width="9.7109375" style="2"/>
  </cols>
  <sheetData>
    <row r="1" spans="1:15" s="136" customFormat="1" x14ac:dyDescent="0.2">
      <c r="A1" s="136" t="s">
        <v>224</v>
      </c>
    </row>
    <row r="2" spans="1:15" s="136" customFormat="1" x14ac:dyDescent="0.2"/>
    <row r="3" spans="1:15" s="136" customFormat="1" x14ac:dyDescent="0.2">
      <c r="B3" s="137" t="s">
        <v>225</v>
      </c>
    </row>
    <row r="4" spans="1:15" s="136" customFormat="1" ht="13.5" x14ac:dyDescent="0.25">
      <c r="L4" s="138"/>
    </row>
    <row r="5" spans="1:15" s="136" customFormat="1" ht="13.5" thickBot="1" x14ac:dyDescent="0.25"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5" ht="13.5" thickTop="1" x14ac:dyDescent="0.2">
      <c r="N6" s="136"/>
      <c r="O6" s="136"/>
    </row>
    <row r="7" spans="1:15" x14ac:dyDescent="0.2">
      <c r="B7" s="141" t="s">
        <v>65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36"/>
      <c r="O7" s="136"/>
    </row>
    <row r="8" spans="1:15" x14ac:dyDescent="0.2">
      <c r="N8" s="136"/>
      <c r="O8" s="136"/>
    </row>
    <row r="9" spans="1:15" x14ac:dyDescent="0.2">
      <c r="N9" s="136"/>
      <c r="O9" s="136"/>
    </row>
    <row r="10" spans="1:15" x14ac:dyDescent="0.2">
      <c r="B10" s="141"/>
      <c r="C10" s="141"/>
      <c r="D10" s="141" t="s">
        <v>60</v>
      </c>
      <c r="E10" s="141" t="s">
        <v>61</v>
      </c>
      <c r="F10" s="141" t="s">
        <v>62</v>
      </c>
    </row>
    <row r="11" spans="1:15" x14ac:dyDescent="0.2">
      <c r="B11" s="2" t="str">
        <f>+TEXT(F18-F17,0)&amp;"Yr LBO"</f>
        <v>5Yr LBO</v>
      </c>
      <c r="D11" s="4">
        <f>+S245</f>
        <v>19.948677304725599</v>
      </c>
      <c r="E11" s="4">
        <f>+R246</f>
        <v>19.948677304725599</v>
      </c>
      <c r="F11" s="4">
        <f>Q247</f>
        <v>19.948677304725599</v>
      </c>
      <c r="G11" s="5"/>
    </row>
    <row r="12" spans="1:15" ht="13.5" thickBot="1" x14ac:dyDescent="0.25">
      <c r="B12" s="2" t="str">
        <f>TEXT(L262-G262,0)&amp;" Yr DCF"</f>
        <v>5 Yr DCF</v>
      </c>
      <c r="D12" s="4">
        <f>+S266</f>
        <v>20.603322461883273</v>
      </c>
      <c r="E12" s="4">
        <f>+R267</f>
        <v>21.975910792072014</v>
      </c>
      <c r="F12" s="4">
        <f>+Q268</f>
        <v>23.401374316473273</v>
      </c>
      <c r="G12" s="5"/>
    </row>
    <row r="13" spans="1:15" ht="13.5" thickBot="1" x14ac:dyDescent="0.25">
      <c r="B13" s="6" t="s">
        <v>63</v>
      </c>
      <c r="C13" s="7"/>
      <c r="D13" s="8">
        <f>+AVERAGE(D11:D12)</f>
        <v>20.275999883304436</v>
      </c>
      <c r="E13" s="8">
        <f t="shared" ref="E13:F13" si="0">+AVERAGE(E11:E12)</f>
        <v>20.962294048398807</v>
      </c>
      <c r="F13" s="9">
        <f t="shared" si="0"/>
        <v>21.675025810599436</v>
      </c>
    </row>
    <row r="14" spans="1:15" x14ac:dyDescent="0.2">
      <c r="D14" s="10"/>
      <c r="E14" s="10"/>
    </row>
    <row r="16" spans="1:15" ht="14.25" x14ac:dyDescent="0.2">
      <c r="A16" s="142" t="s">
        <v>144</v>
      </c>
      <c r="B16" s="141" t="s">
        <v>65</v>
      </c>
      <c r="C16" s="141"/>
      <c r="D16" s="141"/>
      <c r="E16" s="141"/>
      <c r="F16" s="141"/>
      <c r="H16" s="141" t="s">
        <v>66</v>
      </c>
      <c r="I16" s="141"/>
      <c r="J16" s="141" t="s">
        <v>67</v>
      </c>
      <c r="K16" s="141" t="s">
        <v>68</v>
      </c>
      <c r="L16" s="141" t="s">
        <v>69</v>
      </c>
    </row>
    <row r="17" spans="1:12" x14ac:dyDescent="0.2">
      <c r="B17" s="2" t="s">
        <v>72</v>
      </c>
      <c r="E17" s="11">
        <f>+L30</f>
        <v>13.646616541353383</v>
      </c>
      <c r="F17" s="113">
        <v>2023</v>
      </c>
      <c r="H17" s="2" t="s">
        <v>73</v>
      </c>
      <c r="J17" s="118">
        <v>0</v>
      </c>
      <c r="K17" s="114">
        <v>9.5000000000000001E-2</v>
      </c>
      <c r="L17" s="114">
        <v>0</v>
      </c>
    </row>
    <row r="18" spans="1:12" x14ac:dyDescent="0.2">
      <c r="B18" s="2" t="s">
        <v>74</v>
      </c>
      <c r="E18" s="112">
        <v>12</v>
      </c>
      <c r="F18" s="113">
        <v>2028</v>
      </c>
      <c r="H18" s="2" t="s">
        <v>54</v>
      </c>
      <c r="I18" s="15"/>
      <c r="J18" s="118">
        <v>3</v>
      </c>
      <c r="K18" s="114">
        <v>0.1</v>
      </c>
      <c r="L18" s="114">
        <v>0.02</v>
      </c>
    </row>
    <row r="19" spans="1:12" x14ac:dyDescent="0.2">
      <c r="B19" s="2" t="s">
        <v>76</v>
      </c>
      <c r="F19" s="113">
        <v>7</v>
      </c>
      <c r="H19" s="2" t="s">
        <v>77</v>
      </c>
      <c r="I19" s="15"/>
      <c r="J19" s="118">
        <v>2</v>
      </c>
      <c r="K19" s="114">
        <v>0.1</v>
      </c>
      <c r="L19" s="114">
        <v>0.03</v>
      </c>
    </row>
    <row r="20" spans="1:12" x14ac:dyDescent="0.2">
      <c r="B20" s="2" t="s">
        <v>17</v>
      </c>
      <c r="F20" s="114">
        <v>4.4999999999999998E-2</v>
      </c>
      <c r="H20" s="2" t="s">
        <v>56</v>
      </c>
      <c r="I20" s="15"/>
      <c r="J20" s="118">
        <f>+J21-SUM(J17:J19)</f>
        <v>2</v>
      </c>
      <c r="K20" s="114">
        <v>0.1</v>
      </c>
      <c r="L20" s="114">
        <v>0.03</v>
      </c>
    </row>
    <row r="21" spans="1:12" x14ac:dyDescent="0.2">
      <c r="B21" s="2" t="s">
        <v>80</v>
      </c>
      <c r="F21" s="114">
        <v>0.1</v>
      </c>
      <c r="H21" s="16" t="s">
        <v>57</v>
      </c>
      <c r="I21" s="17"/>
      <c r="J21" s="119">
        <v>7</v>
      </c>
      <c r="K21" s="18"/>
      <c r="L21" s="18"/>
    </row>
    <row r="22" spans="1:12" x14ac:dyDescent="0.2">
      <c r="B22" s="2" t="s">
        <v>18</v>
      </c>
      <c r="F22" s="115">
        <v>300</v>
      </c>
      <c r="L22" s="19"/>
    </row>
    <row r="23" spans="1:12" x14ac:dyDescent="0.2">
      <c r="B23" s="2" t="s">
        <v>20</v>
      </c>
      <c r="F23" s="115">
        <v>0.2</v>
      </c>
    </row>
    <row r="24" spans="1:12" x14ac:dyDescent="0.2">
      <c r="B24" s="2" t="s">
        <v>21</v>
      </c>
      <c r="F24" s="19">
        <f>4000000/1000</f>
        <v>4000</v>
      </c>
      <c r="H24" s="141" t="s">
        <v>83</v>
      </c>
      <c r="I24" s="141"/>
      <c r="J24" s="141"/>
      <c r="K24" s="141"/>
      <c r="L24" s="141"/>
    </row>
    <row r="25" spans="1:12" x14ac:dyDescent="0.2">
      <c r="B25" s="2" t="s">
        <v>22</v>
      </c>
      <c r="F25" s="19">
        <f>10000/1000</f>
        <v>10</v>
      </c>
      <c r="H25" s="2" t="s">
        <v>223</v>
      </c>
      <c r="L25" s="19">
        <f>Prompt!M18</f>
        <v>20</v>
      </c>
    </row>
    <row r="26" spans="1:12" x14ac:dyDescent="0.2">
      <c r="B26" s="2" t="s">
        <v>23</v>
      </c>
      <c r="F26" s="116">
        <v>0</v>
      </c>
      <c r="H26" s="2" t="s">
        <v>87</v>
      </c>
      <c r="L26" s="19">
        <f>+F24</f>
        <v>4000</v>
      </c>
    </row>
    <row r="27" spans="1:12" x14ac:dyDescent="0.2">
      <c r="B27" s="2" t="s">
        <v>24</v>
      </c>
      <c r="F27" s="115">
        <v>15</v>
      </c>
      <c r="H27" s="2" t="s">
        <v>90</v>
      </c>
      <c r="L27" s="19">
        <f>+L25*L26</f>
        <v>80000</v>
      </c>
    </row>
    <row r="28" spans="1:12" x14ac:dyDescent="0.2">
      <c r="B28" s="2" t="s">
        <v>25</v>
      </c>
      <c r="F28" s="115">
        <v>0</v>
      </c>
      <c r="H28" s="2" t="s">
        <v>92</v>
      </c>
      <c r="L28" s="19">
        <f>E108+E107-E85</f>
        <v>10750</v>
      </c>
    </row>
    <row r="29" spans="1:12" x14ac:dyDescent="0.2">
      <c r="B29" s="2" t="s">
        <v>19</v>
      </c>
      <c r="F29" s="114">
        <v>0.4</v>
      </c>
      <c r="H29" s="21" t="s">
        <v>94</v>
      </c>
      <c r="I29" s="21"/>
      <c r="J29" s="21"/>
      <c r="K29" s="21"/>
      <c r="L29" s="22">
        <f>+L27+L28</f>
        <v>90750</v>
      </c>
    </row>
    <row r="30" spans="1:12" x14ac:dyDescent="0.2">
      <c r="B30" s="2" t="s">
        <v>96</v>
      </c>
      <c r="F30" s="117">
        <v>1</v>
      </c>
      <c r="H30" s="5" t="s">
        <v>97</v>
      </c>
      <c r="L30" s="24">
        <f>+L29/G58</f>
        <v>13.646616541353383</v>
      </c>
    </row>
    <row r="32" spans="1:12" ht="14.25" x14ac:dyDescent="0.2">
      <c r="A32" s="142" t="s">
        <v>144</v>
      </c>
      <c r="B32" s="141" t="s">
        <v>99</v>
      </c>
      <c r="C32" s="141"/>
      <c r="D32" s="141" t="s">
        <v>100</v>
      </c>
      <c r="E32" s="141" t="s">
        <v>67</v>
      </c>
      <c r="F32" s="141" t="s">
        <v>101</v>
      </c>
      <c r="H32" s="141" t="s">
        <v>102</v>
      </c>
      <c r="I32" s="141"/>
      <c r="J32" s="141"/>
      <c r="K32" s="141"/>
      <c r="L32" s="141"/>
    </row>
    <row r="33" spans="1:20" s="25" customFormat="1" x14ac:dyDescent="0.2">
      <c r="B33" s="25" t="s">
        <v>73</v>
      </c>
      <c r="D33" s="26">
        <f>+E33*$G$58</f>
        <v>0</v>
      </c>
      <c r="E33" s="27">
        <f>+J17</f>
        <v>0</v>
      </c>
      <c r="F33" s="28">
        <f>+D33/$D$39</f>
        <v>0</v>
      </c>
      <c r="H33" s="19" t="s">
        <v>104</v>
      </c>
      <c r="I33" s="19"/>
      <c r="J33" s="19"/>
      <c r="K33" s="19"/>
      <c r="L33" s="19">
        <f>+L27</f>
        <v>80000</v>
      </c>
      <c r="M33" s="29"/>
    </row>
    <row r="34" spans="1:20" x14ac:dyDescent="0.2">
      <c r="B34" s="19" t="str">
        <f>+H18</f>
        <v>Bank Debt</v>
      </c>
      <c r="C34" s="19"/>
      <c r="D34" s="26">
        <f>+E34*$G$58</f>
        <v>19950</v>
      </c>
      <c r="E34" s="15">
        <f>+J18</f>
        <v>3</v>
      </c>
      <c r="F34" s="28">
        <f>+D34/$D$39</f>
        <v>0.21615003737932978</v>
      </c>
      <c r="H34" s="19" t="s">
        <v>106</v>
      </c>
      <c r="I34" s="19"/>
      <c r="J34" s="19"/>
      <c r="K34" s="19"/>
      <c r="L34" s="19">
        <f>+E107+E108</f>
        <v>11100</v>
      </c>
    </row>
    <row r="35" spans="1:20" x14ac:dyDescent="0.2">
      <c r="B35" s="19" t="str">
        <f>+H19</f>
        <v>Sub Debt</v>
      </c>
      <c r="C35" s="19"/>
      <c r="D35" s="26">
        <f>+E35*$G$58</f>
        <v>13300</v>
      </c>
      <c r="E35" s="15">
        <f>+J19</f>
        <v>2</v>
      </c>
      <c r="F35" s="28">
        <f>+D35/$D$39</f>
        <v>0.14410002491955318</v>
      </c>
      <c r="H35" s="19" t="s">
        <v>107</v>
      </c>
      <c r="I35" s="19"/>
      <c r="J35" s="19"/>
      <c r="K35" s="19"/>
      <c r="L35" s="19">
        <f>+D34*L18+D35*L19+D36*L20</f>
        <v>1197</v>
      </c>
    </row>
    <row r="36" spans="1:20" x14ac:dyDescent="0.2">
      <c r="B36" s="19" t="str">
        <f>+H20</f>
        <v>PIK Sub Debt</v>
      </c>
      <c r="C36" s="19"/>
      <c r="D36" s="26">
        <f>+E36*$G$58</f>
        <v>13300</v>
      </c>
      <c r="E36" s="15">
        <f>+J20</f>
        <v>2</v>
      </c>
      <c r="F36" s="28">
        <f>+D36/$D$39</f>
        <v>0.14410002491955318</v>
      </c>
    </row>
    <row r="37" spans="1:20" x14ac:dyDescent="0.2">
      <c r="B37" s="19" t="s">
        <v>108</v>
      </c>
      <c r="C37" s="19"/>
      <c r="D37" s="26">
        <f>+(E85-F22)</f>
        <v>50</v>
      </c>
      <c r="E37" s="15">
        <f>+D37/$G$58</f>
        <v>7.5187969924812026E-3</v>
      </c>
      <c r="F37" s="28">
        <f>+D37/$D$39</f>
        <v>5.4172941699080139E-4</v>
      </c>
      <c r="H37" s="19"/>
      <c r="I37" s="19"/>
      <c r="J37" s="19"/>
      <c r="K37" s="19"/>
      <c r="L37" s="19"/>
    </row>
    <row r="38" spans="1:20" x14ac:dyDescent="0.2">
      <c r="B38" s="19" t="s">
        <v>109</v>
      </c>
      <c r="C38" s="19"/>
      <c r="D38" s="26">
        <f>+D39-SUM(D33:D37)</f>
        <v>45697</v>
      </c>
      <c r="E38" s="15">
        <f>+D38/$G$58</f>
        <v>6.871729323308271</v>
      </c>
      <c r="F38" s="28">
        <f t="shared" ref="F38" si="1">+D38/$D$39</f>
        <v>0.49510818336457307</v>
      </c>
      <c r="H38" s="19"/>
      <c r="I38" s="19"/>
      <c r="J38" s="19"/>
      <c r="K38" s="19"/>
      <c r="L38" s="19"/>
    </row>
    <row r="39" spans="1:20" x14ac:dyDescent="0.2">
      <c r="B39" s="22" t="s">
        <v>110</v>
      </c>
      <c r="C39" s="22"/>
      <c r="D39" s="30">
        <f>+L39</f>
        <v>92297</v>
      </c>
      <c r="E39" s="31">
        <f>SUM(E33:E38)</f>
        <v>13.879248120300751</v>
      </c>
      <c r="F39" s="32">
        <f>SUM(F33:F38)</f>
        <v>1</v>
      </c>
      <c r="H39" s="22" t="s">
        <v>111</v>
      </c>
      <c r="I39" s="22"/>
      <c r="J39" s="22"/>
      <c r="K39" s="22"/>
      <c r="L39" s="22">
        <f>+SUM(L33:L38)</f>
        <v>92297</v>
      </c>
    </row>
    <row r="40" spans="1:20" x14ac:dyDescent="0.2">
      <c r="B40" s="19"/>
      <c r="C40" s="19"/>
      <c r="D40" s="19"/>
      <c r="E40" s="19"/>
      <c r="F40" s="19"/>
      <c r="H40" s="19"/>
      <c r="I40" s="19"/>
      <c r="J40" s="19"/>
      <c r="K40" s="19"/>
      <c r="L40" s="19"/>
    </row>
    <row r="41" spans="1:20" x14ac:dyDescent="0.2">
      <c r="B41" s="19"/>
      <c r="C41" s="19"/>
      <c r="D41" s="19"/>
      <c r="E41" s="19"/>
      <c r="F41" s="19"/>
      <c r="H41" s="19"/>
      <c r="I41" s="19"/>
      <c r="J41" s="19"/>
      <c r="K41" s="19"/>
      <c r="L41" s="19"/>
    </row>
    <row r="42" spans="1:20" ht="14.25" x14ac:dyDescent="0.2">
      <c r="A42" s="142" t="s">
        <v>144</v>
      </c>
      <c r="B42" s="141" t="s">
        <v>112</v>
      </c>
      <c r="C42" s="141"/>
      <c r="D42" s="141"/>
      <c r="E42" s="141"/>
      <c r="F42" s="141"/>
      <c r="G42" s="141">
        <f>+$F$17</f>
        <v>2023</v>
      </c>
      <c r="H42" s="141">
        <f>+G42+1</f>
        <v>2024</v>
      </c>
      <c r="I42" s="141">
        <f>+H42+1</f>
        <v>2025</v>
      </c>
      <c r="J42" s="141">
        <f>+I42+1</f>
        <v>2026</v>
      </c>
      <c r="K42" s="141">
        <f>+J42+1</f>
        <v>2027</v>
      </c>
      <c r="L42" s="141">
        <f>+K42+1</f>
        <v>2028</v>
      </c>
      <c r="N42" s="141" t="s">
        <v>113</v>
      </c>
    </row>
    <row r="43" spans="1:20" x14ac:dyDescent="0.2">
      <c r="B43" s="19" t="s">
        <v>4</v>
      </c>
      <c r="C43" s="19"/>
      <c r="D43" s="19"/>
      <c r="E43" s="19"/>
      <c r="F43" s="19"/>
      <c r="G43" s="19">
        <f>Prompt!H19</f>
        <v>15000</v>
      </c>
      <c r="H43" s="19">
        <f>+G43*(1+H44)</f>
        <v>16800</v>
      </c>
      <c r="I43" s="19">
        <f>+H43*(1+I44)</f>
        <v>18816</v>
      </c>
      <c r="J43" s="19">
        <f>+I43*(1+J44)</f>
        <v>21073.920000000002</v>
      </c>
      <c r="K43" s="19">
        <f>+J43*(1+K44)</f>
        <v>23602.790400000005</v>
      </c>
      <c r="L43" s="19">
        <f>+K43*(1+L44)</f>
        <v>26435.125248000008</v>
      </c>
    </row>
    <row r="44" spans="1:20" x14ac:dyDescent="0.2">
      <c r="B44" s="19" t="s">
        <v>114</v>
      </c>
      <c r="C44" s="19"/>
      <c r="D44" s="19"/>
      <c r="E44" s="19"/>
      <c r="F44" s="19"/>
      <c r="G44" s="33">
        <f>Prompt!H20</f>
        <v>0.12</v>
      </c>
      <c r="H44" s="33">
        <f>+G44+$N44</f>
        <v>0.12</v>
      </c>
      <c r="I44" s="33">
        <f>+H44+$N44</f>
        <v>0.12</v>
      </c>
      <c r="J44" s="33">
        <f>+I44+$N44</f>
        <v>0.12</v>
      </c>
      <c r="K44" s="33">
        <f>+J44+$N44</f>
        <v>0.12</v>
      </c>
      <c r="L44" s="33">
        <f>+K44+$N44</f>
        <v>0.12</v>
      </c>
      <c r="M44" s="28"/>
      <c r="N44" s="114">
        <v>0</v>
      </c>
    </row>
    <row r="45" spans="1:20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20" x14ac:dyDescent="0.2">
      <c r="B46" s="19" t="s">
        <v>6</v>
      </c>
      <c r="C46" s="19"/>
      <c r="D46" s="19"/>
      <c r="E46" s="19"/>
      <c r="F46" s="19"/>
      <c r="G46" s="19">
        <f>Prompt!H22</f>
        <v>6500</v>
      </c>
      <c r="H46" s="19">
        <f>+H47*H$43</f>
        <v>7246.4000000000005</v>
      </c>
      <c r="I46" s="19">
        <f>+I47*I$43</f>
        <v>8078.3360000000002</v>
      </c>
      <c r="J46" s="19">
        <f>+J47*J$43</f>
        <v>9005.5884800000003</v>
      </c>
      <c r="K46" s="19">
        <f>+K47*K$43</f>
        <v>10039.053516800002</v>
      </c>
      <c r="L46" s="19">
        <f>+L47*L$43</f>
        <v>11190.869688320003</v>
      </c>
      <c r="T46" s="5"/>
    </row>
    <row r="47" spans="1:20" s="5" customFormat="1" x14ac:dyDescent="0.2">
      <c r="B47" s="34" t="s">
        <v>115</v>
      </c>
      <c r="C47" s="34"/>
      <c r="D47" s="34"/>
      <c r="E47" s="34"/>
      <c r="F47" s="34"/>
      <c r="G47" s="36">
        <f>G46/G43</f>
        <v>0.43333333333333335</v>
      </c>
      <c r="H47" s="36">
        <f>+G47+$N47</f>
        <v>0.43133333333333335</v>
      </c>
      <c r="I47" s="36">
        <f>+H47+$N47</f>
        <v>0.42933333333333334</v>
      </c>
      <c r="J47" s="36">
        <f>+I47+$N47</f>
        <v>0.42733333333333334</v>
      </c>
      <c r="K47" s="36">
        <f>+J47+$N47</f>
        <v>0.42533333333333334</v>
      </c>
      <c r="L47" s="36">
        <f>+K47+$N47</f>
        <v>0.42333333333333334</v>
      </c>
      <c r="M47" s="37"/>
      <c r="N47" s="120">
        <v>-2E-3</v>
      </c>
      <c r="T47" s="2"/>
    </row>
    <row r="48" spans="1:20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20" x14ac:dyDescent="0.2">
      <c r="B49" s="19" t="s">
        <v>116</v>
      </c>
      <c r="C49" s="19"/>
      <c r="D49" s="19"/>
      <c r="E49" s="19"/>
      <c r="F49" s="19"/>
      <c r="G49" s="19">
        <f t="shared" ref="G49:L49" si="2">+G43-G46</f>
        <v>8500</v>
      </c>
      <c r="H49" s="19">
        <f t="shared" si="2"/>
        <v>9553.5999999999985</v>
      </c>
      <c r="I49" s="19">
        <f t="shared" si="2"/>
        <v>10737.664000000001</v>
      </c>
      <c r="J49" s="19">
        <f t="shared" si="2"/>
        <v>12068.331520000002</v>
      </c>
      <c r="K49" s="19">
        <f t="shared" si="2"/>
        <v>13563.736883200003</v>
      </c>
      <c r="L49" s="19">
        <f t="shared" si="2"/>
        <v>15244.255559680005</v>
      </c>
      <c r="T49" s="5"/>
    </row>
    <row r="50" spans="2:20" s="5" customFormat="1" x14ac:dyDescent="0.2">
      <c r="B50" s="34" t="s">
        <v>117</v>
      </c>
      <c r="C50" s="34"/>
      <c r="D50" s="34"/>
      <c r="E50" s="34"/>
      <c r="F50" s="34"/>
      <c r="G50" s="36">
        <f t="shared" ref="G50:L50" si="3">+G49/G43</f>
        <v>0.56666666666666665</v>
      </c>
      <c r="H50" s="36">
        <f t="shared" si="3"/>
        <v>0.56866666666666654</v>
      </c>
      <c r="I50" s="36">
        <f t="shared" si="3"/>
        <v>0.57066666666666666</v>
      </c>
      <c r="J50" s="36">
        <f t="shared" si="3"/>
        <v>0.57266666666666666</v>
      </c>
      <c r="K50" s="36">
        <f t="shared" si="3"/>
        <v>0.57466666666666666</v>
      </c>
      <c r="L50" s="36">
        <f t="shared" si="3"/>
        <v>0.57666666666666666</v>
      </c>
      <c r="M50" s="38"/>
      <c r="T50" s="2"/>
    </row>
    <row r="51" spans="2:20" x14ac:dyDescent="0.2">
      <c r="B51" s="19"/>
      <c r="C51" s="19"/>
      <c r="D51" s="19"/>
      <c r="E51" s="19"/>
      <c r="F51" s="19"/>
    </row>
    <row r="52" spans="2:20" x14ac:dyDescent="0.2">
      <c r="B52" s="19" t="s">
        <v>118</v>
      </c>
      <c r="C52" s="19"/>
      <c r="D52" s="19"/>
      <c r="E52" s="19"/>
      <c r="F52" s="19"/>
      <c r="G52" s="19">
        <f>Prompt!H25</f>
        <v>1250</v>
      </c>
      <c r="H52" s="19">
        <f>+H53*H$43</f>
        <v>1400</v>
      </c>
      <c r="I52" s="19">
        <f>+I53*I$43</f>
        <v>1568</v>
      </c>
      <c r="J52" s="19">
        <f>+J53*J$43</f>
        <v>1756.16</v>
      </c>
      <c r="K52" s="19">
        <f>+K53*K$43</f>
        <v>1966.8992000000003</v>
      </c>
      <c r="L52" s="19">
        <f>+L53*L$43</f>
        <v>2202.9271040000003</v>
      </c>
      <c r="T52" s="5"/>
    </row>
    <row r="53" spans="2:20" s="5" customFormat="1" x14ac:dyDescent="0.2">
      <c r="B53" s="34" t="s">
        <v>115</v>
      </c>
      <c r="C53" s="34"/>
      <c r="D53" s="34"/>
      <c r="E53" s="34"/>
      <c r="F53" s="34"/>
      <c r="G53" s="36">
        <f>G52/G43</f>
        <v>8.3333333333333329E-2</v>
      </c>
      <c r="H53" s="36">
        <f>+G53+$N53</f>
        <v>8.3333333333333329E-2</v>
      </c>
      <c r="I53" s="36">
        <f>+H53+$N53</f>
        <v>8.3333333333333329E-2</v>
      </c>
      <c r="J53" s="36">
        <f>+I53+$N53</f>
        <v>8.3333333333333329E-2</v>
      </c>
      <c r="K53" s="36">
        <f>+J53+$N53</f>
        <v>8.3333333333333329E-2</v>
      </c>
      <c r="L53" s="36">
        <f>+K53+$N53</f>
        <v>8.3333333333333329E-2</v>
      </c>
      <c r="M53" s="37"/>
      <c r="N53" s="120">
        <v>0</v>
      </c>
      <c r="T53" s="2"/>
    </row>
    <row r="54" spans="2:20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20" x14ac:dyDescent="0.2">
      <c r="B55" s="19" t="s">
        <v>119</v>
      </c>
      <c r="C55" s="19"/>
      <c r="D55" s="19"/>
      <c r="E55" s="19"/>
      <c r="F55" s="19"/>
      <c r="G55" s="19">
        <f>Prompt!H28</f>
        <v>600</v>
      </c>
      <c r="H55" s="19">
        <f>+H56*H$43</f>
        <v>621.6</v>
      </c>
      <c r="I55" s="19">
        <f>+I56*I$43</f>
        <v>639.74399999999991</v>
      </c>
      <c r="J55" s="19">
        <f>+J56*J$43</f>
        <v>653.29151999999999</v>
      </c>
      <c r="K55" s="19">
        <f>+K56*K$43</f>
        <v>660.8781312000001</v>
      </c>
      <c r="L55" s="19">
        <f>+L56*L$43</f>
        <v>660.8781312000001</v>
      </c>
      <c r="T55" s="5"/>
    </row>
    <row r="56" spans="2:20" s="5" customFormat="1" x14ac:dyDescent="0.2">
      <c r="B56" s="34" t="s">
        <v>115</v>
      </c>
      <c r="C56" s="34"/>
      <c r="D56" s="34"/>
      <c r="E56" s="34"/>
      <c r="F56" s="34"/>
      <c r="G56" s="36">
        <f>G55/G43</f>
        <v>0.04</v>
      </c>
      <c r="H56" s="36">
        <f>+G56+$N56</f>
        <v>3.6999999999999998E-2</v>
      </c>
      <c r="I56" s="36">
        <f>+H56+$N56</f>
        <v>3.3999999999999996E-2</v>
      </c>
      <c r="J56" s="36">
        <f>+I56+$N56</f>
        <v>3.0999999999999996E-2</v>
      </c>
      <c r="K56" s="36">
        <f>+J56+$N56</f>
        <v>2.7999999999999997E-2</v>
      </c>
      <c r="L56" s="36">
        <f>+K56+$N56</f>
        <v>2.4999999999999998E-2</v>
      </c>
      <c r="M56" s="37"/>
      <c r="N56" s="120">
        <v>-3.0000000000000001E-3</v>
      </c>
      <c r="T56" s="2"/>
    </row>
    <row r="57" spans="2:20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2:20" s="1" customFormat="1" x14ac:dyDescent="0.2">
      <c r="B58" s="39" t="s">
        <v>120</v>
      </c>
      <c r="C58" s="39"/>
      <c r="D58" s="39"/>
      <c r="E58" s="39"/>
      <c r="F58" s="39"/>
      <c r="G58" s="39">
        <f t="shared" ref="G58:L58" si="4">+G49-G52-G55</f>
        <v>6650</v>
      </c>
      <c r="H58" s="39">
        <f t="shared" si="4"/>
        <v>7531.9999999999982</v>
      </c>
      <c r="I58" s="39">
        <f t="shared" si="4"/>
        <v>8529.92</v>
      </c>
      <c r="J58" s="39">
        <f t="shared" si="4"/>
        <v>9658.880000000001</v>
      </c>
      <c r="K58" s="39">
        <f t="shared" si="4"/>
        <v>10935.959552000004</v>
      </c>
      <c r="L58" s="39">
        <f t="shared" si="4"/>
        <v>12380.450324480003</v>
      </c>
      <c r="M58" s="40"/>
      <c r="T58" s="41"/>
    </row>
    <row r="59" spans="2:20" s="5" customFormat="1" x14ac:dyDescent="0.2">
      <c r="B59" s="34" t="s">
        <v>117</v>
      </c>
      <c r="C59" s="34"/>
      <c r="D59" s="34"/>
      <c r="E59" s="34"/>
      <c r="F59" s="34"/>
      <c r="G59" s="36">
        <f t="shared" ref="G59:L59" si="5">+G58/G$43</f>
        <v>0.44333333333333336</v>
      </c>
      <c r="H59" s="36">
        <f t="shared" si="5"/>
        <v>0.44833333333333325</v>
      </c>
      <c r="I59" s="36">
        <f t="shared" si="5"/>
        <v>0.45333333333333331</v>
      </c>
      <c r="J59" s="36">
        <f t="shared" si="5"/>
        <v>0.45833333333333331</v>
      </c>
      <c r="K59" s="36">
        <f t="shared" si="5"/>
        <v>0.46333333333333337</v>
      </c>
      <c r="L59" s="36">
        <f t="shared" si="5"/>
        <v>0.46833333333333332</v>
      </c>
      <c r="M59" s="38"/>
    </row>
    <row r="60" spans="2:20" s="5" customFormat="1" x14ac:dyDescent="0.2">
      <c r="B60" s="34" t="s">
        <v>114</v>
      </c>
      <c r="C60" s="34"/>
      <c r="D60" s="34"/>
      <c r="E60" s="34"/>
      <c r="F60" s="34"/>
      <c r="G60" s="36"/>
      <c r="H60" s="36">
        <f>+H58/G58-1</f>
        <v>0.13263157894736821</v>
      </c>
      <c r="I60" s="36">
        <f>+I58/H58-1</f>
        <v>0.13249070631970294</v>
      </c>
      <c r="J60" s="36">
        <f>+J58/I58-1</f>
        <v>0.13235294117647078</v>
      </c>
      <c r="K60" s="36">
        <f>+K58/J58-1</f>
        <v>0.13221818181818201</v>
      </c>
      <c r="L60" s="36">
        <f>+L58/K58-1</f>
        <v>0.13208633093525179</v>
      </c>
      <c r="M60" s="38"/>
      <c r="T60" s="2"/>
    </row>
    <row r="61" spans="2:20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2:20" x14ac:dyDescent="0.2">
      <c r="B62" s="19" t="s">
        <v>11</v>
      </c>
      <c r="C62" s="19"/>
      <c r="D62" s="19"/>
      <c r="E62" s="19"/>
      <c r="F62" s="19"/>
      <c r="G62" s="19">
        <f>Prompt!H31</f>
        <v>750</v>
      </c>
      <c r="H62" s="19">
        <f>+H63*H$43</f>
        <v>840</v>
      </c>
      <c r="I62" s="19">
        <f>+I63*I$43</f>
        <v>940.80000000000007</v>
      </c>
      <c r="J62" s="19">
        <f>+J63*J$43</f>
        <v>1053.6960000000001</v>
      </c>
      <c r="K62" s="19">
        <f>+K63*K$43</f>
        <v>1180.1395200000004</v>
      </c>
      <c r="L62" s="19">
        <f>+L63*L$43</f>
        <v>1321.7562624000004</v>
      </c>
      <c r="T62" s="5"/>
    </row>
    <row r="63" spans="2:20" s="5" customFormat="1" x14ac:dyDescent="0.2">
      <c r="B63" s="34" t="s">
        <v>115</v>
      </c>
      <c r="C63" s="34"/>
      <c r="D63" s="34"/>
      <c r="E63" s="34"/>
      <c r="F63" s="34"/>
      <c r="G63" s="36">
        <f t="shared" ref="G63" si="6">+G62/G$43</f>
        <v>0.05</v>
      </c>
      <c r="H63" s="36">
        <f>+G63+$N63</f>
        <v>0.05</v>
      </c>
      <c r="I63" s="36">
        <f>+H63+$N63</f>
        <v>0.05</v>
      </c>
      <c r="J63" s="36">
        <f>+I63+$N63</f>
        <v>0.05</v>
      </c>
      <c r="K63" s="36">
        <f>+J63+$N63</f>
        <v>0.05</v>
      </c>
      <c r="L63" s="36">
        <f>+K63+$N63</f>
        <v>0.05</v>
      </c>
      <c r="M63" s="37"/>
      <c r="N63" s="120">
        <v>0</v>
      </c>
      <c r="T63" s="2"/>
    </row>
    <row r="64" spans="2:20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2:20" x14ac:dyDescent="0.2">
      <c r="B65" s="19" t="s">
        <v>12</v>
      </c>
      <c r="C65" s="19"/>
      <c r="D65" s="19"/>
      <c r="E65" s="19"/>
      <c r="F65" s="19"/>
      <c r="G65" s="19">
        <f>Prompt!H34</f>
        <v>10</v>
      </c>
      <c r="H65" s="19">
        <f>+G65</f>
        <v>10</v>
      </c>
      <c r="I65" s="19">
        <f>+H65</f>
        <v>10</v>
      </c>
      <c r="J65" s="19">
        <f>+I65</f>
        <v>10</v>
      </c>
      <c r="K65" s="19">
        <f>+J65</f>
        <v>10</v>
      </c>
      <c r="L65" s="19">
        <f>+K65</f>
        <v>10</v>
      </c>
    </row>
    <row r="66" spans="2:20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2:20" s="1" customFormat="1" x14ac:dyDescent="0.2">
      <c r="B67" s="39" t="s">
        <v>121</v>
      </c>
      <c r="C67" s="39"/>
      <c r="D67" s="39"/>
      <c r="E67" s="39"/>
      <c r="F67" s="39"/>
      <c r="G67" s="39">
        <f t="shared" ref="G67:L67" si="7">+G58-G62-G65</f>
        <v>5890</v>
      </c>
      <c r="H67" s="39">
        <f t="shared" si="7"/>
        <v>6681.9999999999982</v>
      </c>
      <c r="I67" s="39">
        <f t="shared" si="7"/>
        <v>7579.12</v>
      </c>
      <c r="J67" s="39">
        <f t="shared" si="7"/>
        <v>8595.1840000000011</v>
      </c>
      <c r="K67" s="39">
        <f t="shared" si="7"/>
        <v>9745.8200320000033</v>
      </c>
      <c r="L67" s="39">
        <f t="shared" si="7"/>
        <v>11048.694062080003</v>
      </c>
      <c r="M67" s="40"/>
    </row>
    <row r="68" spans="2:20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2:20" x14ac:dyDescent="0.2">
      <c r="B69" s="19" t="s">
        <v>122</v>
      </c>
      <c r="C69" s="19"/>
      <c r="D69" s="19"/>
      <c r="E69" s="19"/>
      <c r="F69" s="19"/>
      <c r="G69" s="42"/>
      <c r="H69" s="43">
        <f>+$L$35/$F$19</f>
        <v>171</v>
      </c>
      <c r="I69" s="43">
        <f>+$L$35/$F$19</f>
        <v>171</v>
      </c>
      <c r="J69" s="43">
        <f>+$L$35/$F$19</f>
        <v>171</v>
      </c>
      <c r="K69" s="43">
        <f>+$L$35/$F$19</f>
        <v>171</v>
      </c>
      <c r="L69" s="43">
        <f>+$L$35/$F$19</f>
        <v>171</v>
      </c>
    </row>
    <row r="70" spans="2:20" x14ac:dyDescent="0.2">
      <c r="B70" s="19" t="s">
        <v>123</v>
      </c>
      <c r="C70" s="19"/>
      <c r="D70" s="19"/>
      <c r="E70" s="19"/>
      <c r="F70" s="19"/>
      <c r="G70" s="42"/>
      <c r="H70" s="43">
        <f>+H190</f>
        <v>1330</v>
      </c>
      <c r="I70" s="43">
        <f t="shared" ref="I70:L70" ca="1" si="8">+I190</f>
        <v>1463</v>
      </c>
      <c r="J70" s="43">
        <f t="shared" ca="1" si="8"/>
        <v>1609.3000000000002</v>
      </c>
      <c r="K70" s="43">
        <f t="shared" ca="1" si="8"/>
        <v>1770.23</v>
      </c>
      <c r="L70" s="43">
        <f t="shared" ca="1" si="8"/>
        <v>1947.2529999999999</v>
      </c>
    </row>
    <row r="71" spans="2:20" x14ac:dyDescent="0.2">
      <c r="B71" s="19" t="s">
        <v>124</v>
      </c>
      <c r="C71" s="19"/>
      <c r="D71" s="19"/>
      <c r="E71" s="19"/>
      <c r="F71" s="19"/>
      <c r="G71" s="42"/>
      <c r="H71" s="43">
        <f ca="1">+H205</f>
        <v>3273.3595559080095</v>
      </c>
      <c r="I71" s="43">
        <f ca="1">+I205</f>
        <v>3161.1892635692502</v>
      </c>
      <c r="J71" s="43">
        <f t="shared" ref="J71:L71" ca="1" si="9">+J205</f>
        <v>2970.6904624894742</v>
      </c>
      <c r="K71" s="43">
        <f t="shared" ca="1" si="9"/>
        <v>2695.4315672563089</v>
      </c>
      <c r="L71" s="43">
        <f t="shared" ca="1" si="9"/>
        <v>2319.6681938951601</v>
      </c>
    </row>
    <row r="72" spans="2:20" x14ac:dyDescent="0.2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2:20" x14ac:dyDescent="0.2">
      <c r="B73" s="19" t="s">
        <v>125</v>
      </c>
      <c r="C73" s="19"/>
      <c r="D73" s="19"/>
      <c r="E73" s="19"/>
      <c r="F73" s="19"/>
      <c r="G73" s="19"/>
      <c r="H73" s="19">
        <f t="shared" ref="H73:L73" ca="1" si="10">+H67-SUM(H69:H71)</f>
        <v>1907.6404440919887</v>
      </c>
      <c r="I73" s="19">
        <f t="shared" ca="1" si="10"/>
        <v>2783.9307364307497</v>
      </c>
      <c r="J73" s="19">
        <f t="shared" ca="1" si="10"/>
        <v>3844.1935375105268</v>
      </c>
      <c r="K73" s="19">
        <f t="shared" ca="1" si="10"/>
        <v>5109.1584647436939</v>
      </c>
      <c r="L73" s="19">
        <f t="shared" ca="1" si="10"/>
        <v>6610.7728681848439</v>
      </c>
    </row>
    <row r="74" spans="2:20" x14ac:dyDescent="0.2">
      <c r="B74" s="19" t="s">
        <v>126</v>
      </c>
      <c r="C74" s="19"/>
      <c r="D74" s="19"/>
      <c r="E74" s="19"/>
      <c r="F74" s="19"/>
      <c r="G74" s="19"/>
      <c r="H74" s="19">
        <f ca="1">+H73*tax</f>
        <v>763.0561776367955</v>
      </c>
      <c r="I74" s="19">
        <f ca="1">+I73*tax</f>
        <v>1113.5722945722998</v>
      </c>
      <c r="J74" s="19">
        <f ca="1">+J73*tax</f>
        <v>1537.6774150042108</v>
      </c>
      <c r="K74" s="19">
        <f ca="1">+K73*tax</f>
        <v>2043.6633858974776</v>
      </c>
      <c r="L74" s="19">
        <f ca="1">+L73*tax</f>
        <v>2644.3091472739379</v>
      </c>
      <c r="T74" s="1"/>
    </row>
    <row r="75" spans="2:20" s="1" customFormat="1" x14ac:dyDescent="0.2">
      <c r="B75" s="39" t="s">
        <v>127</v>
      </c>
      <c r="C75" s="39"/>
      <c r="D75" s="39"/>
      <c r="E75" s="39"/>
      <c r="F75" s="39"/>
      <c r="G75" s="39"/>
      <c r="H75" s="39">
        <f t="shared" ref="H75:L75" ca="1" si="11">+H73-H74</f>
        <v>1144.5842664551933</v>
      </c>
      <c r="I75" s="39">
        <f t="shared" ca="1" si="11"/>
        <v>1670.3584418584499</v>
      </c>
      <c r="J75" s="39">
        <f t="shared" ca="1" si="11"/>
        <v>2306.5161225063157</v>
      </c>
      <c r="K75" s="39">
        <f t="shared" ca="1" si="11"/>
        <v>3065.4950788462165</v>
      </c>
      <c r="L75" s="39">
        <f t="shared" ca="1" si="11"/>
        <v>3966.463720910906</v>
      </c>
      <c r="M75" s="40"/>
      <c r="T75" s="2"/>
    </row>
    <row r="76" spans="2:20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2:20" x14ac:dyDescent="0.2">
      <c r="B77" s="44" t="s">
        <v>128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2:20" x14ac:dyDescent="0.2">
      <c r="B78" s="19" t="s">
        <v>13</v>
      </c>
      <c r="C78" s="19"/>
      <c r="D78" s="19"/>
      <c r="E78" s="19"/>
      <c r="F78" s="19"/>
      <c r="G78" s="20">
        <v>1750</v>
      </c>
      <c r="H78" s="19">
        <f>+G78</f>
        <v>1750</v>
      </c>
      <c r="I78" s="19">
        <f>+H78</f>
        <v>1750</v>
      </c>
      <c r="J78" s="19">
        <f>+I78</f>
        <v>1750</v>
      </c>
      <c r="K78" s="19">
        <f>+J78</f>
        <v>1750</v>
      </c>
      <c r="L78" s="19">
        <f>+K78</f>
        <v>1750</v>
      </c>
      <c r="T78" s="5"/>
    </row>
    <row r="79" spans="2:20" s="5" customFormat="1" x14ac:dyDescent="0.2">
      <c r="B79" s="34" t="s">
        <v>115</v>
      </c>
      <c r="C79" s="34"/>
      <c r="D79" s="34"/>
      <c r="E79" s="34"/>
      <c r="F79" s="34"/>
      <c r="G79" s="36">
        <f t="shared" ref="G79:L79" si="12">+G78/G43</f>
        <v>0.11666666666666667</v>
      </c>
      <c r="H79" s="36">
        <f t="shared" si="12"/>
        <v>0.10416666666666667</v>
      </c>
      <c r="I79" s="36">
        <f t="shared" si="12"/>
        <v>9.3005952380952384E-2</v>
      </c>
      <c r="J79" s="36">
        <f t="shared" si="12"/>
        <v>8.3041028911564618E-2</v>
      </c>
      <c r="K79" s="36">
        <f t="shared" si="12"/>
        <v>7.4143775813896973E-2</v>
      </c>
      <c r="L79" s="36">
        <f t="shared" si="12"/>
        <v>6.6199799833836573E-2</v>
      </c>
      <c r="M79" s="37"/>
      <c r="N79" s="35"/>
    </row>
    <row r="80" spans="2:20" s="5" customFormat="1" x14ac:dyDescent="0.2">
      <c r="B80" s="34" t="s">
        <v>129</v>
      </c>
      <c r="C80" s="34"/>
      <c r="D80" s="34"/>
      <c r="E80" s="34"/>
      <c r="F80" s="34"/>
      <c r="G80" s="36">
        <f t="shared" ref="G80:L80" si="13">+G78/(G62+G65)</f>
        <v>2.3026315789473686</v>
      </c>
      <c r="H80" s="36">
        <f t="shared" si="13"/>
        <v>2.0588235294117645</v>
      </c>
      <c r="I80" s="36">
        <f t="shared" si="13"/>
        <v>1.8405553218342448</v>
      </c>
      <c r="J80" s="36">
        <f t="shared" si="13"/>
        <v>1.6452069012198971</v>
      </c>
      <c r="K80" s="36">
        <f t="shared" si="13"/>
        <v>1.4704158383044026</v>
      </c>
      <c r="L80" s="36">
        <f t="shared" si="13"/>
        <v>1.3140542675926818</v>
      </c>
      <c r="M80" s="38"/>
      <c r="T80" s="2"/>
    </row>
    <row r="81" spans="1:20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20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20" ht="14.25" x14ac:dyDescent="0.2">
      <c r="A83" s="142" t="s">
        <v>144</v>
      </c>
      <c r="B83" s="141" t="s">
        <v>130</v>
      </c>
      <c r="C83" s="141"/>
      <c r="D83" s="141"/>
      <c r="E83" s="141">
        <v>2003</v>
      </c>
      <c r="F83" s="141" t="s">
        <v>131</v>
      </c>
      <c r="G83" s="141">
        <f>+$F$17</f>
        <v>2023</v>
      </c>
      <c r="H83" s="141">
        <f>+G83+1</f>
        <v>2024</v>
      </c>
      <c r="I83" s="141">
        <f>+H83+1</f>
        <v>2025</v>
      </c>
      <c r="J83" s="141">
        <f>+I83+1</f>
        <v>2026</v>
      </c>
      <c r="K83" s="141">
        <f>+J83+1</f>
        <v>2027</v>
      </c>
      <c r="L83" s="141">
        <f>+K83+1</f>
        <v>2028</v>
      </c>
      <c r="M83" s="40"/>
      <c r="N83" s="141" t="s">
        <v>132</v>
      </c>
      <c r="O83" s="141"/>
      <c r="P83" s="141"/>
      <c r="T83" s="25"/>
    </row>
    <row r="84" spans="1:20" s="25" customFormat="1" x14ac:dyDescent="0.2">
      <c r="B84" s="45" t="s">
        <v>133</v>
      </c>
      <c r="C84" s="46"/>
      <c r="D84" s="46"/>
      <c r="E84" s="47"/>
      <c r="F84" s="48"/>
      <c r="G84" s="49"/>
      <c r="H84" s="50"/>
      <c r="I84" s="50"/>
      <c r="J84" s="50"/>
      <c r="K84" s="50"/>
      <c r="L84" s="50"/>
      <c r="M84" s="40"/>
      <c r="N84" s="25" t="s">
        <v>134</v>
      </c>
      <c r="P84" s="42">
        <f>+E98</f>
        <v>18900</v>
      </c>
      <c r="T84" s="2"/>
    </row>
    <row r="85" spans="1:20" x14ac:dyDescent="0.2">
      <c r="B85" s="19" t="s">
        <v>27</v>
      </c>
      <c r="C85" s="19"/>
      <c r="D85" s="19"/>
      <c r="E85" s="20">
        <v>350</v>
      </c>
      <c r="F85" s="51">
        <f>-D37</f>
        <v>-50</v>
      </c>
      <c r="G85" s="19">
        <f>+SUM(E85:F85)</f>
        <v>300</v>
      </c>
      <c r="H85" s="43">
        <f ca="1">+H161</f>
        <v>300</v>
      </c>
      <c r="I85" s="43">
        <f t="shared" ref="I85:L85" ca="1" si="14">+I161</f>
        <v>300</v>
      </c>
      <c r="J85" s="43">
        <f t="shared" ca="1" si="14"/>
        <v>300</v>
      </c>
      <c r="K85" s="43">
        <f t="shared" ca="1" si="14"/>
        <v>300</v>
      </c>
      <c r="L85" s="43">
        <f t="shared" ca="1" si="14"/>
        <v>300</v>
      </c>
      <c r="M85" s="40"/>
      <c r="N85" s="2" t="s">
        <v>135</v>
      </c>
      <c r="P85" s="19">
        <f>+E114</f>
        <v>13650</v>
      </c>
    </row>
    <row r="86" spans="1:20" x14ac:dyDescent="0.2">
      <c r="B86" s="19" t="s">
        <v>28</v>
      </c>
      <c r="C86" s="19"/>
      <c r="D86" s="19"/>
      <c r="E86" s="20">
        <v>2800</v>
      </c>
      <c r="F86" s="51"/>
      <c r="G86" s="19">
        <f>+SUM(E86:F86)</f>
        <v>2800</v>
      </c>
      <c r="H86" s="19">
        <f>+H124*H43/365</f>
        <v>3136</v>
      </c>
      <c r="I86" s="19">
        <f t="shared" ref="I86:L86" si="15">+I124*I43/365</f>
        <v>3512.32</v>
      </c>
      <c r="J86" s="19">
        <f t="shared" si="15"/>
        <v>3933.7984000000006</v>
      </c>
      <c r="K86" s="19">
        <f t="shared" si="15"/>
        <v>4405.8542080000016</v>
      </c>
      <c r="L86" s="19">
        <f t="shared" si="15"/>
        <v>4934.5567129600022</v>
      </c>
      <c r="M86" s="40"/>
      <c r="N86" s="2" t="s">
        <v>136</v>
      </c>
      <c r="P86" s="19">
        <f>+E95</f>
        <v>150</v>
      </c>
    </row>
    <row r="87" spans="1:20" x14ac:dyDescent="0.2">
      <c r="B87" s="19" t="s">
        <v>29</v>
      </c>
      <c r="C87" s="19"/>
      <c r="D87" s="19"/>
      <c r="E87" s="20">
        <v>2000</v>
      </c>
      <c r="F87" s="51"/>
      <c r="G87" s="19">
        <f t="shared" ref="G87:G88" si="16">+SUM(E87:F87)</f>
        <v>2000</v>
      </c>
      <c r="H87" s="19">
        <f>+H125*H46/365</f>
        <v>2229.6615384615388</v>
      </c>
      <c r="I87" s="19">
        <f t="shared" ref="I87:L87" si="17">+I125*I46/365</f>
        <v>2485.6418461538465</v>
      </c>
      <c r="J87" s="19">
        <f t="shared" si="17"/>
        <v>2770.9503015384621</v>
      </c>
      <c r="K87" s="19">
        <f t="shared" si="17"/>
        <v>3088.9395436307705</v>
      </c>
      <c r="L87" s="19">
        <f t="shared" si="17"/>
        <v>3443.3445194830779</v>
      </c>
      <c r="M87" s="40"/>
      <c r="N87" s="2" t="s">
        <v>137</v>
      </c>
      <c r="P87" s="19">
        <f>+P84-P85-P86</f>
        <v>5100</v>
      </c>
    </row>
    <row r="88" spans="1:20" x14ac:dyDescent="0.2">
      <c r="B88" s="19" t="s">
        <v>30</v>
      </c>
      <c r="C88" s="19"/>
      <c r="D88" s="19"/>
      <c r="E88" s="20">
        <v>100</v>
      </c>
      <c r="F88" s="51"/>
      <c r="G88" s="19">
        <f t="shared" si="16"/>
        <v>100</v>
      </c>
      <c r="H88" s="19">
        <f>+H126*H$43</f>
        <v>112.00000000000001</v>
      </c>
      <c r="I88" s="19">
        <f t="shared" ref="I88:L88" si="18">+I126*I$43</f>
        <v>125.44000000000001</v>
      </c>
      <c r="J88" s="19">
        <f t="shared" si="18"/>
        <v>140.49280000000002</v>
      </c>
      <c r="K88" s="19">
        <f t="shared" si="18"/>
        <v>157.35193600000005</v>
      </c>
      <c r="L88" s="19">
        <f t="shared" si="18"/>
        <v>176.23416832000007</v>
      </c>
      <c r="M88" s="40"/>
      <c r="N88" s="2" t="s">
        <v>104</v>
      </c>
      <c r="P88" s="19">
        <f>+L33</f>
        <v>80000</v>
      </c>
      <c r="T88" s="1"/>
    </row>
    <row r="89" spans="1:20" s="1" customFormat="1" x14ac:dyDescent="0.2">
      <c r="B89" s="39" t="s">
        <v>31</v>
      </c>
      <c r="C89" s="39"/>
      <c r="D89" s="39"/>
      <c r="E89" s="39">
        <f>SUM(E85:E88)</f>
        <v>5250</v>
      </c>
      <c r="F89" s="52"/>
      <c r="G89" s="39">
        <f t="shared" ref="G89:L89" si="19">SUM(G85:G88)</f>
        <v>5200</v>
      </c>
      <c r="H89" s="39">
        <f t="shared" ca="1" si="19"/>
        <v>5777.6615384615388</v>
      </c>
      <c r="I89" s="39">
        <f t="shared" ca="1" si="19"/>
        <v>6423.4018461538462</v>
      </c>
      <c r="J89" s="39">
        <f t="shared" ca="1" si="19"/>
        <v>7145.2415015384631</v>
      </c>
      <c r="K89" s="39">
        <f t="shared" ca="1" si="19"/>
        <v>7952.145687630772</v>
      </c>
      <c r="L89" s="39">
        <f t="shared" ca="1" si="19"/>
        <v>8854.1354007630798</v>
      </c>
      <c r="M89" s="39"/>
      <c r="N89" s="1" t="s">
        <v>138</v>
      </c>
      <c r="P89" s="39">
        <f>+P88-P87</f>
        <v>74900</v>
      </c>
      <c r="T89" s="2"/>
    </row>
    <row r="90" spans="1:20" x14ac:dyDescent="0.2">
      <c r="B90" s="19"/>
      <c r="C90" s="19"/>
      <c r="D90" s="19"/>
      <c r="E90" s="19"/>
      <c r="F90" s="51"/>
      <c r="G90" s="19"/>
      <c r="H90" s="19"/>
      <c r="I90" s="19"/>
      <c r="J90" s="19"/>
      <c r="K90" s="19"/>
      <c r="L90" s="19"/>
      <c r="M90" s="40"/>
    </row>
    <row r="91" spans="1:20" x14ac:dyDescent="0.2">
      <c r="B91" s="19" t="s">
        <v>32</v>
      </c>
      <c r="C91" s="19"/>
      <c r="D91" s="19"/>
      <c r="E91" s="20">
        <v>16000</v>
      </c>
      <c r="F91" s="51"/>
      <c r="G91" s="19">
        <f>+SUM(E91:F91)</f>
        <v>16000</v>
      </c>
      <c r="H91" s="19">
        <f>+G91+H78</f>
        <v>17750</v>
      </c>
      <c r="I91" s="19">
        <f>+H91+I78</f>
        <v>19500</v>
      </c>
      <c r="J91" s="19">
        <f>+I91+J78</f>
        <v>21250</v>
      </c>
      <c r="K91" s="19">
        <f>+J91+K78</f>
        <v>23000</v>
      </c>
      <c r="L91" s="19">
        <f>+K91+L78</f>
        <v>24750</v>
      </c>
      <c r="M91" s="40"/>
    </row>
    <row r="92" spans="1:20" x14ac:dyDescent="0.2">
      <c r="B92" s="19" t="s">
        <v>33</v>
      </c>
      <c r="C92" s="19"/>
      <c r="D92" s="19"/>
      <c r="E92" s="20">
        <v>-3000</v>
      </c>
      <c r="F92" s="51"/>
      <c r="G92" s="19">
        <f t="shared" ref="G92" si="20">+SUM(E92:F92)</f>
        <v>-3000</v>
      </c>
      <c r="H92" s="19">
        <f>+G92-H62</f>
        <v>-3840</v>
      </c>
      <c r="I92" s="19">
        <f>+H92-I62</f>
        <v>-4780.8</v>
      </c>
      <c r="J92" s="19">
        <f t="shared" ref="J92:L92" si="21">+I92-J62</f>
        <v>-5834.4960000000001</v>
      </c>
      <c r="K92" s="19">
        <f t="shared" si="21"/>
        <v>-7014.6355200000007</v>
      </c>
      <c r="L92" s="19">
        <f t="shared" si="21"/>
        <v>-8336.3917824000018</v>
      </c>
      <c r="M92" s="40"/>
    </row>
    <row r="93" spans="1:20" x14ac:dyDescent="0.2">
      <c r="B93" s="19" t="s">
        <v>34</v>
      </c>
      <c r="C93" s="19"/>
      <c r="D93" s="19"/>
      <c r="E93" s="19">
        <f>SUM(E91:E92)</f>
        <v>13000</v>
      </c>
      <c r="F93" s="53"/>
      <c r="G93" s="19">
        <f t="shared" ref="G93:L93" si="22">SUM(G91:G92)</f>
        <v>13000</v>
      </c>
      <c r="H93" s="19">
        <f t="shared" si="22"/>
        <v>13910</v>
      </c>
      <c r="I93" s="19">
        <f t="shared" si="22"/>
        <v>14719.2</v>
      </c>
      <c r="J93" s="19">
        <f t="shared" si="22"/>
        <v>15415.504000000001</v>
      </c>
      <c r="K93" s="19">
        <f t="shared" si="22"/>
        <v>15985.36448</v>
      </c>
      <c r="L93" s="19">
        <f t="shared" si="22"/>
        <v>16413.608217599998</v>
      </c>
      <c r="M93" s="19"/>
    </row>
    <row r="94" spans="1:20" x14ac:dyDescent="0.2">
      <c r="B94" s="19"/>
      <c r="C94" s="19"/>
      <c r="D94" s="19"/>
      <c r="E94" s="19"/>
      <c r="F94" s="51"/>
      <c r="G94" s="19"/>
      <c r="H94" s="19"/>
      <c r="I94" s="19"/>
      <c r="J94" s="19"/>
      <c r="K94" s="19"/>
      <c r="L94" s="19"/>
      <c r="M94" s="40"/>
    </row>
    <row r="95" spans="1:20" x14ac:dyDescent="0.2">
      <c r="B95" s="19" t="s">
        <v>35</v>
      </c>
      <c r="C95" s="19"/>
      <c r="D95" s="19"/>
      <c r="E95" s="20">
        <v>150</v>
      </c>
      <c r="F95" s="51">
        <f>+P89-E95</f>
        <v>74750</v>
      </c>
      <c r="G95" s="19">
        <f t="shared" ref="G95:G97" si="23">+SUM(E95:F95)</f>
        <v>74900</v>
      </c>
      <c r="H95" s="19">
        <f>+G95-H65</f>
        <v>74890</v>
      </c>
      <c r="I95" s="19">
        <f>+H95-I65</f>
        <v>74880</v>
      </c>
      <c r="J95" s="19">
        <f t="shared" ref="J95:L95" si="24">+I95-J65</f>
        <v>74870</v>
      </c>
      <c r="K95" s="19">
        <f t="shared" si="24"/>
        <v>74860</v>
      </c>
      <c r="L95" s="19">
        <f t="shared" si="24"/>
        <v>74850</v>
      </c>
      <c r="M95" s="40"/>
    </row>
    <row r="96" spans="1:20" x14ac:dyDescent="0.2">
      <c r="B96" s="19" t="s">
        <v>36</v>
      </c>
      <c r="C96" s="19"/>
      <c r="D96" s="19"/>
      <c r="E96" s="20">
        <v>500</v>
      </c>
      <c r="F96" s="51"/>
      <c r="G96" s="19">
        <f t="shared" si="23"/>
        <v>500</v>
      </c>
      <c r="H96" s="19">
        <f>+G96</f>
        <v>500</v>
      </c>
      <c r="I96" s="19">
        <f>+H96</f>
        <v>500</v>
      </c>
      <c r="J96" s="19">
        <f t="shared" ref="J96:L96" si="25">+I96</f>
        <v>500</v>
      </c>
      <c r="K96" s="19">
        <f t="shared" si="25"/>
        <v>500</v>
      </c>
      <c r="L96" s="19">
        <f t="shared" si="25"/>
        <v>500</v>
      </c>
      <c r="M96" s="40"/>
    </row>
    <row r="97" spans="2:20" x14ac:dyDescent="0.2">
      <c r="B97" s="19" t="s">
        <v>139</v>
      </c>
      <c r="C97" s="19"/>
      <c r="D97" s="19"/>
      <c r="E97" s="20">
        <v>0</v>
      </c>
      <c r="F97" s="51">
        <f>+L35</f>
        <v>1197</v>
      </c>
      <c r="G97" s="19">
        <f t="shared" si="23"/>
        <v>1197</v>
      </c>
      <c r="H97" s="19">
        <f>+G97-H69</f>
        <v>1026</v>
      </c>
      <c r="I97" s="19">
        <f>+H97-I69</f>
        <v>855</v>
      </c>
      <c r="J97" s="19">
        <f>+I97-J69</f>
        <v>684</v>
      </c>
      <c r="K97" s="19">
        <f>+J97-K69</f>
        <v>513</v>
      </c>
      <c r="L97" s="19">
        <f>+K97-L69</f>
        <v>342</v>
      </c>
      <c r="M97" s="40"/>
      <c r="T97" s="1"/>
    </row>
    <row r="98" spans="2:20" s="1" customFormat="1" x14ac:dyDescent="0.2">
      <c r="B98" s="39" t="s">
        <v>37</v>
      </c>
      <c r="C98" s="39"/>
      <c r="D98" s="39"/>
      <c r="E98" s="39">
        <f>+E89+E93+SUM(E95:E97)</f>
        <v>18900</v>
      </c>
      <c r="F98" s="52"/>
      <c r="G98" s="39">
        <f t="shared" ref="G98:L98" si="26">+G89+G93+SUM(G95:G97)</f>
        <v>94797</v>
      </c>
      <c r="H98" s="39">
        <f ca="1">+H89+H93+SUM(H95:H97)</f>
        <v>96103.661538461543</v>
      </c>
      <c r="I98" s="39">
        <f ca="1">+I89+I93+SUM(I95:I97)</f>
        <v>97377.601846153848</v>
      </c>
      <c r="J98" s="39">
        <f ca="1">+J89+J93+SUM(J95:J97)</f>
        <v>98614.745501538462</v>
      </c>
      <c r="K98" s="39">
        <f ca="1">+K89+K93+SUM(K95:K97)</f>
        <v>99810.510167630768</v>
      </c>
      <c r="L98" s="39">
        <f t="shared" ca="1" si="26"/>
        <v>100959.74361836308</v>
      </c>
      <c r="M98" s="39"/>
    </row>
    <row r="99" spans="2:20" s="1" customFormat="1" x14ac:dyDescent="0.2">
      <c r="B99" s="39"/>
      <c r="C99" s="39"/>
      <c r="D99" s="39"/>
      <c r="E99" s="39"/>
      <c r="F99" s="54"/>
      <c r="G99" s="39"/>
      <c r="H99" s="39"/>
      <c r="I99" s="39"/>
      <c r="J99" s="39"/>
      <c r="K99" s="39"/>
      <c r="L99" s="39"/>
      <c r="M99" s="40"/>
      <c r="T99" s="2"/>
    </row>
    <row r="100" spans="2:20" x14ac:dyDescent="0.2">
      <c r="B100" s="55" t="s">
        <v>140</v>
      </c>
      <c r="C100" s="19"/>
      <c r="D100" s="19"/>
      <c r="E100" s="19"/>
      <c r="F100" s="51"/>
      <c r="G100" s="19"/>
      <c r="H100" s="19"/>
      <c r="I100" s="19"/>
      <c r="J100" s="19"/>
      <c r="K100" s="19"/>
      <c r="L100" s="19"/>
      <c r="M100" s="40"/>
    </row>
    <row r="101" spans="2:20" x14ac:dyDescent="0.2">
      <c r="B101" s="19" t="s">
        <v>38</v>
      </c>
      <c r="C101" s="19"/>
      <c r="D101" s="19"/>
      <c r="E101" s="20">
        <v>1200</v>
      </c>
      <c r="F101" s="51"/>
      <c r="G101" s="19">
        <f t="shared" ref="G101:G104" si="27">+SUM(E101:F101)</f>
        <v>1200</v>
      </c>
      <c r="H101" s="19">
        <f>+H128*H46/365</f>
        <v>1337.7969230769233</v>
      </c>
      <c r="I101" s="19">
        <f t="shared" ref="I101:L101" si="28">+I128*I46/365</f>
        <v>1491.3851076923079</v>
      </c>
      <c r="J101" s="19">
        <f t="shared" si="28"/>
        <v>1662.570180923077</v>
      </c>
      <c r="K101" s="19">
        <f t="shared" si="28"/>
        <v>1853.363726178462</v>
      </c>
      <c r="L101" s="19">
        <f t="shared" si="28"/>
        <v>2066.0067116898467</v>
      </c>
      <c r="M101" s="40"/>
    </row>
    <row r="102" spans="2:20" x14ac:dyDescent="0.2">
      <c r="B102" s="19" t="s">
        <v>39</v>
      </c>
      <c r="C102" s="19"/>
      <c r="D102" s="19"/>
      <c r="E102" s="20">
        <v>400</v>
      </c>
      <c r="F102" s="51"/>
      <c r="G102" s="19">
        <f t="shared" si="27"/>
        <v>400</v>
      </c>
      <c r="H102" s="19">
        <f t="shared" ref="H102:L104" si="29">+H129*H$46</f>
        <v>445.93230769230775</v>
      </c>
      <c r="I102" s="19">
        <f t="shared" si="29"/>
        <v>497.12836923076929</v>
      </c>
      <c r="J102" s="19">
        <f t="shared" si="29"/>
        <v>554.19006030769231</v>
      </c>
      <c r="K102" s="19">
        <f t="shared" si="29"/>
        <v>617.787908726154</v>
      </c>
      <c r="L102" s="19">
        <f t="shared" si="29"/>
        <v>688.66890389661557</v>
      </c>
      <c r="M102" s="40"/>
    </row>
    <row r="103" spans="2:20" x14ac:dyDescent="0.2">
      <c r="B103" s="19" t="s">
        <v>40</v>
      </c>
      <c r="C103" s="19"/>
      <c r="D103" s="19"/>
      <c r="E103" s="20">
        <v>350</v>
      </c>
      <c r="F103" s="51"/>
      <c r="G103" s="19">
        <f t="shared" si="27"/>
        <v>350</v>
      </c>
      <c r="H103" s="19">
        <f t="shared" si="29"/>
        <v>390.19076923076926</v>
      </c>
      <c r="I103" s="19">
        <f t="shared" si="29"/>
        <v>434.98732307692313</v>
      </c>
      <c r="J103" s="19">
        <f t="shared" si="29"/>
        <v>484.91630276923081</v>
      </c>
      <c r="K103" s="19">
        <f t="shared" si="29"/>
        <v>540.56442013538481</v>
      </c>
      <c r="L103" s="19">
        <f t="shared" si="29"/>
        <v>602.58529090953868</v>
      </c>
      <c r="M103" s="40"/>
    </row>
    <row r="104" spans="2:20" x14ac:dyDescent="0.2">
      <c r="B104" s="19" t="s">
        <v>41</v>
      </c>
      <c r="C104" s="19"/>
      <c r="D104" s="19"/>
      <c r="E104" s="20">
        <v>200</v>
      </c>
      <c r="F104" s="51"/>
      <c r="G104" s="19">
        <f t="shared" si="27"/>
        <v>200</v>
      </c>
      <c r="H104" s="19">
        <f t="shared" si="29"/>
        <v>222.96615384615387</v>
      </c>
      <c r="I104" s="19">
        <f t="shared" si="29"/>
        <v>248.56418461538465</v>
      </c>
      <c r="J104" s="19">
        <f t="shared" si="29"/>
        <v>277.09503015384615</v>
      </c>
      <c r="K104" s="19">
        <f t="shared" si="29"/>
        <v>308.893954363077</v>
      </c>
      <c r="L104" s="19">
        <f t="shared" si="29"/>
        <v>344.33445194830779</v>
      </c>
      <c r="M104" s="40"/>
      <c r="T104" s="1"/>
    </row>
    <row r="105" spans="2:20" s="1" customFormat="1" x14ac:dyDescent="0.2">
      <c r="B105" s="39" t="s">
        <v>42</v>
      </c>
      <c r="C105" s="39"/>
      <c r="D105" s="39"/>
      <c r="E105" s="39">
        <f>SUM(E101:E104)</f>
        <v>2150</v>
      </c>
      <c r="F105" s="52"/>
      <c r="G105" s="39">
        <f t="shared" ref="G105:I105" si="30">SUM(G101:G104)</f>
        <v>2150</v>
      </c>
      <c r="H105" s="39">
        <f t="shared" si="30"/>
        <v>2396.8861538461538</v>
      </c>
      <c r="I105" s="39">
        <f t="shared" si="30"/>
        <v>2672.0649846153847</v>
      </c>
      <c r="J105" s="39">
        <f>SUM(J101:J104)</f>
        <v>2978.7715741538459</v>
      </c>
      <c r="K105" s="39">
        <f>SUM(K101:K104)</f>
        <v>3320.610009403078</v>
      </c>
      <c r="L105" s="39">
        <f>SUM(L101:L104)</f>
        <v>3701.5953584443087</v>
      </c>
      <c r="M105" s="39"/>
      <c r="T105" s="2"/>
    </row>
    <row r="106" spans="2:20" x14ac:dyDescent="0.2">
      <c r="B106" s="19"/>
      <c r="C106" s="19"/>
      <c r="D106" s="19"/>
      <c r="E106" s="19"/>
      <c r="F106" s="51"/>
      <c r="G106" s="19"/>
      <c r="H106" s="19"/>
      <c r="I106" s="19"/>
      <c r="J106" s="19"/>
      <c r="K106" s="19"/>
      <c r="L106" s="19"/>
      <c r="M106" s="40"/>
    </row>
    <row r="107" spans="2:20" x14ac:dyDescent="0.2">
      <c r="B107" s="19" t="s">
        <v>43</v>
      </c>
      <c r="C107" s="19"/>
      <c r="D107" s="19"/>
      <c r="E107" s="20">
        <v>3100</v>
      </c>
      <c r="F107" s="51">
        <f>-E107</f>
        <v>-3100</v>
      </c>
      <c r="G107" s="19">
        <f t="shared" ref="G107:G113" si="31">+SUM(E107:F107)</f>
        <v>0</v>
      </c>
      <c r="H107" s="19">
        <f>+G107</f>
        <v>0</v>
      </c>
      <c r="I107" s="19">
        <f t="shared" ref="I107:L108" si="32">+H107</f>
        <v>0</v>
      </c>
      <c r="J107" s="19">
        <f t="shared" si="32"/>
        <v>0</v>
      </c>
      <c r="K107" s="19">
        <f t="shared" si="32"/>
        <v>0</v>
      </c>
      <c r="L107" s="19">
        <f t="shared" si="32"/>
        <v>0</v>
      </c>
      <c r="M107" s="40"/>
    </row>
    <row r="108" spans="2:20" x14ac:dyDescent="0.2">
      <c r="B108" s="19" t="s">
        <v>44</v>
      </c>
      <c r="C108" s="19"/>
      <c r="D108" s="19"/>
      <c r="E108" s="20">
        <v>8000</v>
      </c>
      <c r="F108" s="51">
        <f>-E108</f>
        <v>-8000</v>
      </c>
      <c r="G108" s="19">
        <f t="shared" si="31"/>
        <v>0</v>
      </c>
      <c r="H108" s="19">
        <f>+G108</f>
        <v>0</v>
      </c>
      <c r="I108" s="19">
        <f t="shared" si="32"/>
        <v>0</v>
      </c>
      <c r="J108" s="19">
        <f t="shared" si="32"/>
        <v>0</v>
      </c>
      <c r="K108" s="19">
        <f t="shared" si="32"/>
        <v>0</v>
      </c>
      <c r="L108" s="19">
        <f t="shared" si="32"/>
        <v>0</v>
      </c>
      <c r="M108" s="40"/>
    </row>
    <row r="109" spans="2:20" x14ac:dyDescent="0.2">
      <c r="B109" s="19" t="s">
        <v>141</v>
      </c>
      <c r="C109" s="19"/>
      <c r="D109" s="19"/>
      <c r="E109" s="20">
        <v>0</v>
      </c>
      <c r="F109" s="51">
        <f>+D33</f>
        <v>0</v>
      </c>
      <c r="G109" s="19">
        <f t="shared" si="31"/>
        <v>0</v>
      </c>
      <c r="H109" s="43">
        <f ca="1">+H173</f>
        <v>0</v>
      </c>
      <c r="I109" s="43">
        <f t="shared" ref="I109:L109" ca="1" si="33">+I173</f>
        <v>0</v>
      </c>
      <c r="J109" s="43">
        <f t="shared" ca="1" si="33"/>
        <v>0</v>
      </c>
      <c r="K109" s="43">
        <f t="shared" ca="1" si="33"/>
        <v>0</v>
      </c>
      <c r="L109" s="43">
        <f t="shared" ca="1" si="33"/>
        <v>0</v>
      </c>
      <c r="M109" s="40"/>
    </row>
    <row r="110" spans="2:20" x14ac:dyDescent="0.2">
      <c r="B110" s="19" t="str">
        <f>+B34</f>
        <v>Bank Debt</v>
      </c>
      <c r="C110" s="19"/>
      <c r="D110" s="19"/>
      <c r="E110" s="20">
        <v>0</v>
      </c>
      <c r="F110" s="51">
        <f>+D34</f>
        <v>19950</v>
      </c>
      <c r="G110" s="19">
        <f t="shared" si="31"/>
        <v>19950</v>
      </c>
      <c r="H110" s="43">
        <f ca="1">+H179</f>
        <v>19187.19111816019</v>
      </c>
      <c r="I110" s="43">
        <f t="shared" ref="I110:L110" ca="1" si="34">+I179</f>
        <v>17706.594153224818</v>
      </c>
      <c r="J110" s="43">
        <f t="shared" ca="1" si="34"/>
        <v>15377.215096564658</v>
      </c>
      <c r="K110" s="43">
        <f t="shared" ca="1" si="34"/>
        <v>12201.416248561516</v>
      </c>
      <c r="L110" s="43">
        <f t="shared" ca="1" si="34"/>
        <v>7861.9476293416874</v>
      </c>
      <c r="M110" s="40"/>
    </row>
    <row r="111" spans="2:20" x14ac:dyDescent="0.2">
      <c r="B111" s="19" t="str">
        <f>+B35</f>
        <v>Sub Debt</v>
      </c>
      <c r="C111" s="19"/>
      <c r="D111" s="19"/>
      <c r="E111" s="20">
        <v>0</v>
      </c>
      <c r="F111" s="51">
        <f>+D35</f>
        <v>13300</v>
      </c>
      <c r="G111" s="19">
        <f t="shared" si="31"/>
        <v>13300</v>
      </c>
      <c r="H111" s="43">
        <f ca="1">+H185</f>
        <v>13300</v>
      </c>
      <c r="I111" s="43">
        <f t="shared" ref="I111:L111" ca="1" si="35">+I185</f>
        <v>13300</v>
      </c>
      <c r="J111" s="43">
        <f t="shared" ca="1" si="35"/>
        <v>13300</v>
      </c>
      <c r="K111" s="43">
        <f t="shared" ca="1" si="35"/>
        <v>13300</v>
      </c>
      <c r="L111" s="43">
        <f t="shared" ca="1" si="35"/>
        <v>13300</v>
      </c>
      <c r="M111" s="40"/>
    </row>
    <row r="112" spans="2:20" x14ac:dyDescent="0.2">
      <c r="B112" s="19" t="str">
        <f>+B36</f>
        <v>PIK Sub Debt</v>
      </c>
      <c r="C112" s="19"/>
      <c r="D112" s="19"/>
      <c r="E112" s="20">
        <v>0</v>
      </c>
      <c r="F112" s="51">
        <f>+D36</f>
        <v>13300</v>
      </c>
      <c r="G112" s="19">
        <f t="shared" si="31"/>
        <v>13300</v>
      </c>
      <c r="H112" s="43">
        <f ca="1">+H192</f>
        <v>14630</v>
      </c>
      <c r="I112" s="43">
        <f t="shared" ref="I112:L112" ca="1" si="36">+I192</f>
        <v>16093</v>
      </c>
      <c r="J112" s="43">
        <f t="shared" ca="1" si="36"/>
        <v>17702.3</v>
      </c>
      <c r="K112" s="43">
        <f t="shared" ca="1" si="36"/>
        <v>19472.53</v>
      </c>
      <c r="L112" s="43">
        <f t="shared" ca="1" si="36"/>
        <v>21419.782999999999</v>
      </c>
      <c r="M112" s="40"/>
    </row>
    <row r="113" spans="1:20" x14ac:dyDescent="0.2">
      <c r="B113" s="19" t="s">
        <v>45</v>
      </c>
      <c r="C113" s="19"/>
      <c r="D113" s="19"/>
      <c r="E113" s="20">
        <v>400</v>
      </c>
      <c r="F113" s="51"/>
      <c r="G113" s="19">
        <f t="shared" si="31"/>
        <v>400</v>
      </c>
      <c r="H113" s="43">
        <f>+G113</f>
        <v>400</v>
      </c>
      <c r="I113" s="43">
        <f t="shared" ref="I113:L113" si="37">+H113</f>
        <v>400</v>
      </c>
      <c r="J113" s="43">
        <f t="shared" si="37"/>
        <v>400</v>
      </c>
      <c r="K113" s="43">
        <f t="shared" si="37"/>
        <v>400</v>
      </c>
      <c r="L113" s="43">
        <f t="shared" si="37"/>
        <v>400</v>
      </c>
      <c r="M113" s="40"/>
      <c r="T113" s="1"/>
    </row>
    <row r="114" spans="1:20" s="1" customFormat="1" x14ac:dyDescent="0.2">
      <c r="B114" s="39" t="s">
        <v>46</v>
      </c>
      <c r="C114" s="39"/>
      <c r="D114" s="39"/>
      <c r="E114" s="39">
        <f>+E105+SUM(E107:E113)</f>
        <v>13650</v>
      </c>
      <c r="F114" s="52"/>
      <c r="G114" s="39">
        <f t="shared" ref="G114:L114" si="38">+G105+SUM(G107:G113)</f>
        <v>49100</v>
      </c>
      <c r="H114" s="39">
        <f ca="1">+H105+SUM(H107:H113)</f>
        <v>49914.077272006347</v>
      </c>
      <c r="I114" s="39">
        <f t="shared" ca="1" si="38"/>
        <v>50171.659137840201</v>
      </c>
      <c r="J114" s="39">
        <f t="shared" ca="1" si="38"/>
        <v>49758.286670718509</v>
      </c>
      <c r="K114" s="39">
        <f t="shared" ca="1" si="38"/>
        <v>48694.556257964592</v>
      </c>
      <c r="L114" s="39">
        <f t="shared" ca="1" si="38"/>
        <v>46683.325987785996</v>
      </c>
      <c r="M114" s="39"/>
      <c r="T114" s="2"/>
    </row>
    <row r="115" spans="1:20" x14ac:dyDescent="0.2">
      <c r="B115" s="19"/>
      <c r="C115" s="19"/>
      <c r="D115" s="19"/>
      <c r="E115" s="19"/>
      <c r="F115" s="51"/>
      <c r="G115" s="19"/>
      <c r="H115" s="19"/>
      <c r="I115" s="19"/>
      <c r="J115" s="19"/>
      <c r="K115" s="19"/>
      <c r="L115" s="19"/>
      <c r="M115" s="40"/>
    </row>
    <row r="116" spans="1:20" x14ac:dyDescent="0.2">
      <c r="B116" s="19" t="s">
        <v>47</v>
      </c>
      <c r="C116" s="19"/>
      <c r="D116" s="19"/>
      <c r="E116" s="20">
        <v>5250</v>
      </c>
      <c r="F116" s="51">
        <f>-E116</f>
        <v>-5250</v>
      </c>
      <c r="G116" s="19">
        <f t="shared" ref="G116:G117" si="39">+SUM(E116:F116)</f>
        <v>0</v>
      </c>
      <c r="H116" s="19">
        <f>+G116</f>
        <v>0</v>
      </c>
      <c r="I116" s="19">
        <f t="shared" ref="I116:L116" si="40">+H116</f>
        <v>0</v>
      </c>
      <c r="J116" s="19">
        <f t="shared" si="40"/>
        <v>0</v>
      </c>
      <c r="K116" s="19">
        <f t="shared" si="40"/>
        <v>0</v>
      </c>
      <c r="L116" s="19">
        <f t="shared" si="40"/>
        <v>0</v>
      </c>
      <c r="M116" s="40"/>
    </row>
    <row r="117" spans="1:20" x14ac:dyDescent="0.2">
      <c r="B117" s="19" t="s">
        <v>109</v>
      </c>
      <c r="C117" s="19"/>
      <c r="D117" s="19"/>
      <c r="E117" s="20">
        <v>0</v>
      </c>
      <c r="F117" s="51">
        <f>+D38</f>
        <v>45697</v>
      </c>
      <c r="G117" s="19">
        <f t="shared" si="39"/>
        <v>45697</v>
      </c>
      <c r="H117" s="43">
        <f ca="1">+H238</f>
        <v>46189.584266455196</v>
      </c>
      <c r="I117" s="43">
        <f t="shared" ref="I117:L117" ca="1" si="41">+I238</f>
        <v>47205.942708313647</v>
      </c>
      <c r="J117" s="43">
        <f t="shared" ca="1" si="41"/>
        <v>48856.45883081996</v>
      </c>
      <c r="K117" s="43">
        <f t="shared" ca="1" si="41"/>
        <v>51115.953909666176</v>
      </c>
      <c r="L117" s="43">
        <f t="shared" ca="1" si="41"/>
        <v>54276.417630577082</v>
      </c>
      <c r="M117" s="40"/>
      <c r="T117" s="1"/>
    </row>
    <row r="118" spans="1:20" s="1" customFormat="1" x14ac:dyDescent="0.2">
      <c r="B118" s="39" t="s">
        <v>142</v>
      </c>
      <c r="C118" s="39"/>
      <c r="D118" s="39"/>
      <c r="E118" s="39">
        <f>+E114+SUM(E116:E117)</f>
        <v>18900</v>
      </c>
      <c r="F118" s="52"/>
      <c r="G118" s="39">
        <f t="shared" ref="G118:L118" si="42">+G114+SUM(G116:G117)</f>
        <v>94797</v>
      </c>
      <c r="H118" s="39">
        <f t="shared" ca="1" si="42"/>
        <v>96103.661538461543</v>
      </c>
      <c r="I118" s="39">
        <f t="shared" ca="1" si="42"/>
        <v>97377.601846153848</v>
      </c>
      <c r="J118" s="39">
        <f t="shared" ca="1" si="42"/>
        <v>98614.745501538477</v>
      </c>
      <c r="K118" s="39">
        <f t="shared" ca="1" si="42"/>
        <v>99810.510167630768</v>
      </c>
      <c r="L118" s="39">
        <f t="shared" ca="1" si="42"/>
        <v>100959.74361836308</v>
      </c>
      <c r="M118" s="39"/>
      <c r="T118" s="2"/>
    </row>
    <row r="119" spans="1:20" x14ac:dyDescent="0.2">
      <c r="B119" s="19"/>
      <c r="C119" s="19"/>
      <c r="D119" s="19"/>
      <c r="E119" s="19"/>
      <c r="F119" s="53"/>
      <c r="G119" s="19"/>
      <c r="H119" s="19"/>
      <c r="I119" s="19"/>
      <c r="J119" s="19"/>
      <c r="K119" s="19"/>
      <c r="L119" s="19"/>
      <c r="T119" s="56"/>
    </row>
    <row r="120" spans="1:20" s="56" customFormat="1" x14ac:dyDescent="0.2">
      <c r="B120" s="57" t="s">
        <v>143</v>
      </c>
      <c r="C120" s="57"/>
      <c r="D120" s="57"/>
      <c r="E120" s="58">
        <f>+E98-E118</f>
        <v>0</v>
      </c>
      <c r="F120" s="59"/>
      <c r="G120" s="58">
        <f t="shared" ref="G120:L120" si="43">+G98-G118</f>
        <v>0</v>
      </c>
      <c r="H120" s="58">
        <f t="shared" ca="1" si="43"/>
        <v>0</v>
      </c>
      <c r="I120" s="58">
        <f t="shared" ca="1" si="43"/>
        <v>0</v>
      </c>
      <c r="J120" s="58">
        <f t="shared" ca="1" si="43"/>
        <v>0</v>
      </c>
      <c r="K120" s="58">
        <f t="shared" ca="1" si="43"/>
        <v>0</v>
      </c>
      <c r="L120" s="58">
        <f t="shared" ca="1" si="43"/>
        <v>0</v>
      </c>
      <c r="M120" s="60"/>
      <c r="T120" s="2"/>
    </row>
    <row r="121" spans="1:20" x14ac:dyDescent="0.2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20" x14ac:dyDescent="0.2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20" ht="14.25" x14ac:dyDescent="0.2">
      <c r="A123" s="142" t="s">
        <v>144</v>
      </c>
      <c r="B123" s="141" t="s">
        <v>145</v>
      </c>
      <c r="C123" s="141"/>
      <c r="D123" s="141"/>
      <c r="E123" s="141"/>
      <c r="F123" s="141"/>
      <c r="G123" s="141">
        <f>+$F$17</f>
        <v>2023</v>
      </c>
      <c r="H123" s="141">
        <f>+G123+1</f>
        <v>2024</v>
      </c>
      <c r="I123" s="141">
        <f>+H123+1</f>
        <v>2025</v>
      </c>
      <c r="J123" s="141">
        <f>+I123+1</f>
        <v>2026</v>
      </c>
      <c r="K123" s="141">
        <f>+J123+1</f>
        <v>2027</v>
      </c>
      <c r="L123" s="141">
        <f>+K123+1</f>
        <v>2028</v>
      </c>
      <c r="M123" s="61"/>
      <c r="N123" s="141" t="s">
        <v>113</v>
      </c>
    </row>
    <row r="124" spans="1:20" x14ac:dyDescent="0.2">
      <c r="B124" s="19" t="s">
        <v>146</v>
      </c>
      <c r="C124" s="19"/>
      <c r="D124" s="19"/>
      <c r="E124" s="19"/>
      <c r="F124" s="19"/>
      <c r="G124" s="19">
        <f>+G86/G43*365</f>
        <v>68.13333333333334</v>
      </c>
      <c r="H124" s="19">
        <f>+G124+$N124</f>
        <v>68.13333333333334</v>
      </c>
      <c r="I124" s="19">
        <f t="shared" ref="I124:L124" si="44">+H124+$N124</f>
        <v>68.13333333333334</v>
      </c>
      <c r="J124" s="19">
        <f t="shared" si="44"/>
        <v>68.13333333333334</v>
      </c>
      <c r="K124" s="19">
        <f t="shared" si="44"/>
        <v>68.13333333333334</v>
      </c>
      <c r="L124" s="19">
        <f t="shared" si="44"/>
        <v>68.13333333333334</v>
      </c>
      <c r="N124" s="116">
        <v>0</v>
      </c>
    </row>
    <row r="125" spans="1:20" x14ac:dyDescent="0.2">
      <c r="B125" s="19" t="s">
        <v>147</v>
      </c>
      <c r="C125" s="19"/>
      <c r="D125" s="19"/>
      <c r="E125" s="19"/>
      <c r="F125" s="19"/>
      <c r="G125" s="19">
        <f>+G87/G46*365</f>
        <v>112.30769230769232</v>
      </c>
      <c r="H125" s="19">
        <f t="shared" ref="H125:L126" si="45">+G125+$N125</f>
        <v>112.30769230769232</v>
      </c>
      <c r="I125" s="19">
        <f t="shared" si="45"/>
        <v>112.30769230769232</v>
      </c>
      <c r="J125" s="19">
        <f t="shared" si="45"/>
        <v>112.30769230769232</v>
      </c>
      <c r="K125" s="19">
        <f t="shared" si="45"/>
        <v>112.30769230769232</v>
      </c>
      <c r="L125" s="19">
        <f t="shared" si="45"/>
        <v>112.30769230769232</v>
      </c>
      <c r="N125" s="116">
        <v>0</v>
      </c>
    </row>
    <row r="126" spans="1:20" x14ac:dyDescent="0.2">
      <c r="B126" s="19" t="s">
        <v>148</v>
      </c>
      <c r="C126" s="19"/>
      <c r="D126" s="19"/>
      <c r="E126" s="19"/>
      <c r="F126" s="19"/>
      <c r="G126" s="33">
        <f>+G88/G43</f>
        <v>6.6666666666666671E-3</v>
      </c>
      <c r="H126" s="33">
        <f t="shared" si="45"/>
        <v>6.6666666666666671E-3</v>
      </c>
      <c r="I126" s="33">
        <f t="shared" si="45"/>
        <v>6.6666666666666671E-3</v>
      </c>
      <c r="J126" s="33">
        <f t="shared" si="45"/>
        <v>6.6666666666666671E-3</v>
      </c>
      <c r="K126" s="33">
        <f t="shared" si="45"/>
        <v>6.6666666666666671E-3</v>
      </c>
      <c r="L126" s="33">
        <f t="shared" si="45"/>
        <v>6.6666666666666671E-3</v>
      </c>
      <c r="N126" s="114">
        <v>0</v>
      </c>
    </row>
    <row r="127" spans="1:20" x14ac:dyDescent="0.2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20" x14ac:dyDescent="0.2">
      <c r="B128" s="19" t="s">
        <v>149</v>
      </c>
      <c r="C128" s="19"/>
      <c r="D128" s="19"/>
      <c r="E128" s="19"/>
      <c r="F128" s="19"/>
      <c r="G128" s="19">
        <f>+G101/G46*365</f>
        <v>67.384615384615387</v>
      </c>
      <c r="H128" s="19">
        <f t="shared" ref="H128:L131" si="46">+G128+$N128</f>
        <v>67.384615384615387</v>
      </c>
      <c r="I128" s="19">
        <f t="shared" si="46"/>
        <v>67.384615384615387</v>
      </c>
      <c r="J128" s="19">
        <f t="shared" si="46"/>
        <v>67.384615384615387</v>
      </c>
      <c r="K128" s="19">
        <f t="shared" si="46"/>
        <v>67.384615384615387</v>
      </c>
      <c r="L128" s="19">
        <f t="shared" si="46"/>
        <v>67.384615384615387</v>
      </c>
      <c r="N128" s="116">
        <v>0</v>
      </c>
    </row>
    <row r="129" spans="1:20" x14ac:dyDescent="0.2">
      <c r="B129" s="19" t="s">
        <v>150</v>
      </c>
      <c r="C129" s="19"/>
      <c r="D129" s="19"/>
      <c r="E129" s="19"/>
      <c r="F129" s="19"/>
      <c r="G129" s="33">
        <f>+G102/G$46</f>
        <v>6.1538461538461542E-2</v>
      </c>
      <c r="H129" s="33">
        <f t="shared" si="46"/>
        <v>6.1538461538461542E-2</v>
      </c>
      <c r="I129" s="33">
        <f t="shared" si="46"/>
        <v>6.1538461538461542E-2</v>
      </c>
      <c r="J129" s="33">
        <f t="shared" si="46"/>
        <v>6.1538461538461542E-2</v>
      </c>
      <c r="K129" s="33">
        <f t="shared" si="46"/>
        <v>6.1538461538461542E-2</v>
      </c>
      <c r="L129" s="33">
        <f t="shared" si="46"/>
        <v>6.1538461538461542E-2</v>
      </c>
      <c r="N129" s="114">
        <v>0</v>
      </c>
    </row>
    <row r="130" spans="1:20" x14ac:dyDescent="0.2">
      <c r="B130" s="19" t="s">
        <v>151</v>
      </c>
      <c r="C130" s="19"/>
      <c r="D130" s="19"/>
      <c r="E130" s="19"/>
      <c r="F130" s="19"/>
      <c r="G130" s="33">
        <f>+G103/G$46</f>
        <v>5.3846153846153849E-2</v>
      </c>
      <c r="H130" s="33">
        <f t="shared" si="46"/>
        <v>5.3846153846153849E-2</v>
      </c>
      <c r="I130" s="33">
        <f t="shared" si="46"/>
        <v>5.3846153846153849E-2</v>
      </c>
      <c r="J130" s="33">
        <f t="shared" si="46"/>
        <v>5.3846153846153849E-2</v>
      </c>
      <c r="K130" s="33">
        <f t="shared" si="46"/>
        <v>5.3846153846153849E-2</v>
      </c>
      <c r="L130" s="33">
        <f t="shared" si="46"/>
        <v>5.3846153846153849E-2</v>
      </c>
      <c r="N130" s="114">
        <v>0</v>
      </c>
    </row>
    <row r="131" spans="1:20" x14ac:dyDescent="0.2">
      <c r="B131" s="19" t="s">
        <v>152</v>
      </c>
      <c r="C131" s="19"/>
      <c r="D131" s="19"/>
      <c r="E131" s="19"/>
      <c r="F131" s="19"/>
      <c r="G131" s="33">
        <f>+G104/G$46</f>
        <v>3.0769230769230771E-2</v>
      </c>
      <c r="H131" s="33">
        <f t="shared" si="46"/>
        <v>3.0769230769230771E-2</v>
      </c>
      <c r="I131" s="33">
        <f t="shared" si="46"/>
        <v>3.0769230769230771E-2</v>
      </c>
      <c r="J131" s="33">
        <f t="shared" si="46"/>
        <v>3.0769230769230771E-2</v>
      </c>
      <c r="K131" s="33">
        <f t="shared" si="46"/>
        <v>3.0769230769230771E-2</v>
      </c>
      <c r="L131" s="33">
        <f t="shared" si="46"/>
        <v>3.0769230769230771E-2</v>
      </c>
      <c r="N131" s="114">
        <v>0</v>
      </c>
    </row>
    <row r="132" spans="1:20" x14ac:dyDescent="0.2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20" x14ac:dyDescent="0.2">
      <c r="B133" s="19" t="s">
        <v>153</v>
      </c>
      <c r="C133" s="19"/>
      <c r="D133" s="19"/>
      <c r="E133" s="19"/>
      <c r="F133" s="19"/>
      <c r="G133" s="19">
        <f>+SUM(G86:G88)-G105</f>
        <v>2750</v>
      </c>
      <c r="H133" s="19">
        <f>+SUM(H86:H88)-H105</f>
        <v>3080.7753846153851</v>
      </c>
      <c r="I133" s="19">
        <f t="shared" ref="I133:L133" si="47">+SUM(I86:I88)-I105</f>
        <v>3451.3368615384616</v>
      </c>
      <c r="J133" s="19">
        <f t="shared" si="47"/>
        <v>3866.4699273846172</v>
      </c>
      <c r="K133" s="19">
        <f t="shared" si="47"/>
        <v>4331.535678227694</v>
      </c>
      <c r="L133" s="19">
        <f t="shared" si="47"/>
        <v>4852.5400423187712</v>
      </c>
    </row>
    <row r="134" spans="1:20" x14ac:dyDescent="0.2">
      <c r="B134" s="19" t="s">
        <v>154</v>
      </c>
      <c r="C134" s="19"/>
      <c r="D134" s="19"/>
      <c r="E134" s="19"/>
      <c r="F134" s="19"/>
      <c r="G134" s="19"/>
      <c r="H134" s="19">
        <f>+G133-H133</f>
        <v>-330.77538461538506</v>
      </c>
      <c r="I134" s="19">
        <f t="shared" ref="I134:L134" si="48">+H133-I133</f>
        <v>-370.5614769230765</v>
      </c>
      <c r="J134" s="19">
        <f t="shared" si="48"/>
        <v>-415.13306584615566</v>
      </c>
      <c r="K134" s="19">
        <f t="shared" si="48"/>
        <v>-465.06575084307678</v>
      </c>
      <c r="L134" s="19">
        <f t="shared" si="48"/>
        <v>-521.00436409107715</v>
      </c>
    </row>
    <row r="135" spans="1:20" x14ac:dyDescent="0.2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20" x14ac:dyDescent="0.2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20" ht="14.25" x14ac:dyDescent="0.2">
      <c r="A137" s="142" t="s">
        <v>144</v>
      </c>
      <c r="B137" s="141" t="s">
        <v>155</v>
      </c>
      <c r="C137" s="141"/>
      <c r="D137" s="141"/>
      <c r="E137" s="141"/>
      <c r="F137" s="141"/>
      <c r="G137" s="141">
        <f>+$F$17</f>
        <v>2023</v>
      </c>
      <c r="H137" s="141">
        <f>+G137+1</f>
        <v>2024</v>
      </c>
      <c r="I137" s="141">
        <f>+H137+1</f>
        <v>2025</v>
      </c>
      <c r="J137" s="141">
        <f>+I137+1</f>
        <v>2026</v>
      </c>
      <c r="K137" s="141">
        <f>+J137+1</f>
        <v>2027</v>
      </c>
      <c r="L137" s="141">
        <f>+K137+1</f>
        <v>2028</v>
      </c>
      <c r="M137" s="61"/>
    </row>
    <row r="138" spans="1:20" x14ac:dyDescent="0.2">
      <c r="B138" s="19" t="s">
        <v>127</v>
      </c>
      <c r="C138" s="19"/>
      <c r="D138" s="19"/>
      <c r="E138" s="19"/>
      <c r="F138" s="19"/>
      <c r="G138" s="19"/>
      <c r="H138" s="19">
        <f ca="1">+H75</f>
        <v>1144.5842664551933</v>
      </c>
      <c r="I138" s="19">
        <f t="shared" ref="I138:L138" ca="1" si="49">+I75</f>
        <v>1670.3584418584499</v>
      </c>
      <c r="J138" s="19">
        <f t="shared" ca="1" si="49"/>
        <v>2306.5161225063157</v>
      </c>
      <c r="K138" s="19">
        <f t="shared" ca="1" si="49"/>
        <v>3065.4950788462165</v>
      </c>
      <c r="L138" s="19">
        <f t="shared" ca="1" si="49"/>
        <v>3966.463720910906</v>
      </c>
    </row>
    <row r="139" spans="1:20" x14ac:dyDescent="0.2">
      <c r="B139" s="19" t="s">
        <v>156</v>
      </c>
      <c r="C139" s="19"/>
      <c r="D139" s="19"/>
      <c r="E139" s="19"/>
      <c r="F139" s="19"/>
      <c r="G139" s="19"/>
      <c r="H139" s="19">
        <f>+H62+H65</f>
        <v>850</v>
      </c>
      <c r="I139" s="19">
        <f t="shared" ref="I139:L139" si="50">+I62+I65</f>
        <v>950.80000000000007</v>
      </c>
      <c r="J139" s="19">
        <f t="shared" si="50"/>
        <v>1063.6960000000001</v>
      </c>
      <c r="K139" s="19">
        <f t="shared" si="50"/>
        <v>1190.1395200000004</v>
      </c>
      <c r="L139" s="19">
        <f t="shared" si="50"/>
        <v>1331.7562624000004</v>
      </c>
    </row>
    <row r="140" spans="1:20" x14ac:dyDescent="0.2">
      <c r="B140" s="19" t="s">
        <v>157</v>
      </c>
      <c r="C140" s="19"/>
      <c r="D140" s="19"/>
      <c r="E140" s="19"/>
      <c r="F140" s="19"/>
      <c r="G140" s="19"/>
      <c r="H140" s="19">
        <f>+H69</f>
        <v>171</v>
      </c>
      <c r="I140" s="19">
        <f t="shared" ref="I140:L141" si="51">+I69</f>
        <v>171</v>
      </c>
      <c r="J140" s="19">
        <f t="shared" si="51"/>
        <v>171</v>
      </c>
      <c r="K140" s="19">
        <f t="shared" si="51"/>
        <v>171</v>
      </c>
      <c r="L140" s="19">
        <f t="shared" si="51"/>
        <v>171</v>
      </c>
    </row>
    <row r="141" spans="1:20" x14ac:dyDescent="0.2">
      <c r="B141" s="19" t="s">
        <v>158</v>
      </c>
      <c r="C141" s="19"/>
      <c r="D141" s="19"/>
      <c r="E141" s="19"/>
      <c r="F141" s="19"/>
      <c r="G141" s="19"/>
      <c r="H141" s="19">
        <f>+H70</f>
        <v>1330</v>
      </c>
      <c r="I141" s="19">
        <f t="shared" ca="1" si="51"/>
        <v>1463</v>
      </c>
      <c r="J141" s="19">
        <f t="shared" ca="1" si="51"/>
        <v>1609.3000000000002</v>
      </c>
      <c r="K141" s="19">
        <f t="shared" ca="1" si="51"/>
        <v>1770.23</v>
      </c>
      <c r="L141" s="19">
        <f t="shared" ca="1" si="51"/>
        <v>1947.2529999999999</v>
      </c>
    </row>
    <row r="142" spans="1:20" x14ac:dyDescent="0.2">
      <c r="B142" s="19" t="s">
        <v>159</v>
      </c>
      <c r="C142" s="19"/>
      <c r="D142" s="19"/>
      <c r="E142" s="19"/>
      <c r="F142" s="19"/>
      <c r="G142" s="19"/>
      <c r="H142" s="19">
        <f>+H134</f>
        <v>-330.77538461538506</v>
      </c>
      <c r="I142" s="19">
        <f t="shared" ref="I142:L142" si="52">+I134</f>
        <v>-370.5614769230765</v>
      </c>
      <c r="J142" s="19">
        <f t="shared" si="52"/>
        <v>-415.13306584615566</v>
      </c>
      <c r="K142" s="19">
        <f t="shared" si="52"/>
        <v>-465.06575084307678</v>
      </c>
      <c r="L142" s="19">
        <f t="shared" si="52"/>
        <v>-521.00436409107715</v>
      </c>
      <c r="T142" s="1"/>
    </row>
    <row r="143" spans="1:20" s="1" customFormat="1" x14ac:dyDescent="0.2">
      <c r="B143" s="39" t="s">
        <v>160</v>
      </c>
      <c r="C143" s="39"/>
      <c r="D143" s="39"/>
      <c r="E143" s="39"/>
      <c r="F143" s="39"/>
      <c r="G143" s="39"/>
      <c r="H143" s="39">
        <f ca="1">SUM(H138:H142)</f>
        <v>3164.8088818398082</v>
      </c>
      <c r="I143" s="39">
        <f t="shared" ref="I143:L143" ca="1" si="53">SUM(I138:I142)</f>
        <v>3884.5969649353733</v>
      </c>
      <c r="J143" s="39">
        <f t="shared" ca="1" si="53"/>
        <v>4735.3790566601601</v>
      </c>
      <c r="K143" s="39">
        <f t="shared" ca="1" si="53"/>
        <v>5731.7988480031408</v>
      </c>
      <c r="L143" s="39">
        <f t="shared" ca="1" si="53"/>
        <v>6895.4686192198287</v>
      </c>
      <c r="M143" s="40"/>
      <c r="T143" s="2"/>
    </row>
    <row r="144" spans="1:20" x14ac:dyDescent="0.2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2:20" x14ac:dyDescent="0.2">
      <c r="B145" s="19" t="s">
        <v>13</v>
      </c>
      <c r="C145" s="19"/>
      <c r="D145" s="19"/>
      <c r="E145" s="19"/>
      <c r="F145" s="19"/>
      <c r="G145" s="19"/>
      <c r="H145" s="19">
        <f>-H78</f>
        <v>-1750</v>
      </c>
      <c r="I145" s="19">
        <f t="shared" ref="I145:L145" si="54">-I78</f>
        <v>-1750</v>
      </c>
      <c r="J145" s="19">
        <f t="shared" si="54"/>
        <v>-1750</v>
      </c>
      <c r="K145" s="19">
        <f t="shared" si="54"/>
        <v>-1750</v>
      </c>
      <c r="L145" s="19">
        <f t="shared" si="54"/>
        <v>-1750</v>
      </c>
      <c r="T145" s="1"/>
    </row>
    <row r="146" spans="2:20" s="1" customFormat="1" x14ac:dyDescent="0.2">
      <c r="B146" s="39" t="s">
        <v>161</v>
      </c>
      <c r="C146" s="39"/>
      <c r="D146" s="39"/>
      <c r="E146" s="39"/>
      <c r="F146" s="39"/>
      <c r="G146" s="39"/>
      <c r="H146" s="39">
        <f>SUM(H145)</f>
        <v>-1750</v>
      </c>
      <c r="I146" s="39">
        <f t="shared" ref="I146:L146" si="55">SUM(I145)</f>
        <v>-1750</v>
      </c>
      <c r="J146" s="39">
        <f t="shared" si="55"/>
        <v>-1750</v>
      </c>
      <c r="K146" s="39">
        <f t="shared" si="55"/>
        <v>-1750</v>
      </c>
      <c r="L146" s="39">
        <f t="shared" si="55"/>
        <v>-1750</v>
      </c>
      <c r="M146" s="40"/>
      <c r="T146" s="2"/>
    </row>
    <row r="147" spans="2:20" x14ac:dyDescent="0.2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2:20" x14ac:dyDescent="0.2">
      <c r="B148" s="19" t="s">
        <v>162</v>
      </c>
      <c r="C148" s="19"/>
      <c r="D148" s="19"/>
      <c r="E148" s="19"/>
      <c r="F148" s="19"/>
      <c r="G148" s="19"/>
      <c r="H148" s="19">
        <f>+H235</f>
        <v>150</v>
      </c>
      <c r="I148" s="19">
        <f t="shared" ref="I148:L150" si="56">+I235</f>
        <v>150</v>
      </c>
      <c r="J148" s="19">
        <f t="shared" si="56"/>
        <v>150</v>
      </c>
      <c r="K148" s="19">
        <f t="shared" si="56"/>
        <v>0</v>
      </c>
      <c r="L148" s="19">
        <f t="shared" si="56"/>
        <v>0</v>
      </c>
    </row>
    <row r="149" spans="2:20" x14ac:dyDescent="0.2">
      <c r="B149" s="19" t="s">
        <v>163</v>
      </c>
      <c r="C149" s="19"/>
      <c r="D149" s="19"/>
      <c r="E149" s="19"/>
      <c r="F149" s="19"/>
      <c r="G149" s="19"/>
      <c r="H149" s="19">
        <f>+H236</f>
        <v>0</v>
      </c>
      <c r="I149" s="19">
        <f t="shared" si="56"/>
        <v>0</v>
      </c>
      <c r="J149" s="19">
        <f t="shared" si="56"/>
        <v>0</v>
      </c>
      <c r="K149" s="19">
        <f t="shared" si="56"/>
        <v>0</v>
      </c>
      <c r="L149" s="19">
        <f t="shared" si="56"/>
        <v>0</v>
      </c>
    </row>
    <row r="150" spans="2:20" x14ac:dyDescent="0.2">
      <c r="B150" s="19" t="s">
        <v>164</v>
      </c>
      <c r="C150" s="19"/>
      <c r="D150" s="19"/>
      <c r="E150" s="19"/>
      <c r="F150" s="19"/>
      <c r="G150" s="19"/>
      <c r="H150" s="19">
        <f>+H237</f>
        <v>-802</v>
      </c>
      <c r="I150" s="19">
        <f t="shared" si="56"/>
        <v>-804</v>
      </c>
      <c r="J150" s="19">
        <f t="shared" si="56"/>
        <v>-806</v>
      </c>
      <c r="K150" s="19">
        <f t="shared" si="56"/>
        <v>-806</v>
      </c>
      <c r="L150" s="19">
        <f t="shared" si="56"/>
        <v>-806</v>
      </c>
      <c r="T150" s="1"/>
    </row>
    <row r="151" spans="2:20" s="1" customFormat="1" x14ac:dyDescent="0.2">
      <c r="B151" s="39" t="s">
        <v>165</v>
      </c>
      <c r="C151" s="39"/>
      <c r="D151" s="39"/>
      <c r="E151" s="39"/>
      <c r="F151" s="39"/>
      <c r="G151" s="39"/>
      <c r="H151" s="62">
        <f ca="1">+H143+H146+SUM(H148:H150)</f>
        <v>762.80888183980824</v>
      </c>
      <c r="I151" s="39">
        <f ca="1">+I143+I146+SUM(I148:I150)</f>
        <v>1480.5969649353733</v>
      </c>
      <c r="J151" s="39">
        <f t="shared" ref="J151:L151" ca="1" si="57">+J143+J146+SUM(J148:J150)</f>
        <v>2329.3790566601601</v>
      </c>
      <c r="K151" s="39">
        <f t="shared" ca="1" si="57"/>
        <v>3175.7988480031408</v>
      </c>
      <c r="L151" s="39">
        <f t="shared" ca="1" si="57"/>
        <v>4339.4686192198287</v>
      </c>
      <c r="M151" s="40"/>
      <c r="N151" s="63"/>
      <c r="T151" s="2"/>
    </row>
    <row r="152" spans="2:20" x14ac:dyDescent="0.2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2:20" x14ac:dyDescent="0.2">
      <c r="B153" s="19" t="str">
        <f>+B109&amp;" Paydown"</f>
        <v>New Revolver Paydown</v>
      </c>
      <c r="C153" s="19"/>
      <c r="D153" s="19"/>
      <c r="E153" s="19"/>
      <c r="F153" s="19"/>
      <c r="G153" s="19"/>
      <c r="H153" s="43">
        <f ca="1">+H172</f>
        <v>0</v>
      </c>
      <c r="I153" s="43">
        <f t="shared" ref="I153:L153" ca="1" si="58">+I172</f>
        <v>0</v>
      </c>
      <c r="J153" s="43">
        <f t="shared" ca="1" si="58"/>
        <v>0</v>
      </c>
      <c r="K153" s="43">
        <f t="shared" ca="1" si="58"/>
        <v>0</v>
      </c>
      <c r="L153" s="43">
        <f t="shared" ca="1" si="58"/>
        <v>0</v>
      </c>
    </row>
    <row r="154" spans="2:20" x14ac:dyDescent="0.2">
      <c r="B154" s="19" t="str">
        <f>+B110&amp;" Paydown"</f>
        <v>Bank Debt Paydown</v>
      </c>
      <c r="C154" s="19"/>
      <c r="D154" s="19"/>
      <c r="E154" s="19"/>
      <c r="F154" s="19"/>
      <c r="G154" s="19"/>
      <c r="H154" s="43">
        <f ca="1">+H178</f>
        <v>-762.80888183980824</v>
      </c>
      <c r="I154" s="43">
        <f t="shared" ref="I154:L154" ca="1" si="59">+I178</f>
        <v>-1480.5969649353733</v>
      </c>
      <c r="J154" s="43">
        <f t="shared" ca="1" si="59"/>
        <v>-2329.3790566601601</v>
      </c>
      <c r="K154" s="43">
        <f t="shared" ca="1" si="59"/>
        <v>-3175.7988480031408</v>
      </c>
      <c r="L154" s="43">
        <f t="shared" ca="1" si="59"/>
        <v>-4339.4686192198287</v>
      </c>
    </row>
    <row r="155" spans="2:20" x14ac:dyDescent="0.2">
      <c r="B155" s="19" t="str">
        <f>+B111&amp;" Paydown"</f>
        <v>Sub Debt Paydown</v>
      </c>
      <c r="C155" s="19"/>
      <c r="D155" s="19"/>
      <c r="E155" s="19"/>
      <c r="F155" s="19"/>
      <c r="G155" s="19"/>
      <c r="H155" s="43">
        <f ca="1">+H184</f>
        <v>0</v>
      </c>
      <c r="I155" s="43">
        <f t="shared" ref="I155:L155" ca="1" si="60">+I184</f>
        <v>0</v>
      </c>
      <c r="J155" s="43">
        <f t="shared" ca="1" si="60"/>
        <v>0</v>
      </c>
      <c r="K155" s="43">
        <f t="shared" ca="1" si="60"/>
        <v>0</v>
      </c>
      <c r="L155" s="43">
        <f t="shared" ca="1" si="60"/>
        <v>0</v>
      </c>
    </row>
    <row r="156" spans="2:20" x14ac:dyDescent="0.2">
      <c r="B156" s="19" t="str">
        <f>+B112&amp;" Paydown"</f>
        <v>PIK Sub Debt Paydown</v>
      </c>
      <c r="C156" s="19"/>
      <c r="D156" s="19"/>
      <c r="E156" s="19"/>
      <c r="F156" s="19"/>
      <c r="G156" s="19"/>
      <c r="H156" s="43">
        <f ca="1">+H191</f>
        <v>0</v>
      </c>
      <c r="I156" s="43">
        <f t="shared" ref="I156:L156" ca="1" si="61">+I191</f>
        <v>0</v>
      </c>
      <c r="J156" s="43">
        <f t="shared" ca="1" si="61"/>
        <v>0</v>
      </c>
      <c r="K156" s="43">
        <f t="shared" ca="1" si="61"/>
        <v>0</v>
      </c>
      <c r="L156" s="43">
        <f t="shared" ca="1" si="61"/>
        <v>0</v>
      </c>
      <c r="T156" s="1"/>
    </row>
    <row r="157" spans="2:20" s="1" customFormat="1" x14ac:dyDescent="0.2">
      <c r="B157" s="39" t="s">
        <v>166</v>
      </c>
      <c r="C157" s="39"/>
      <c r="D157" s="39"/>
      <c r="E157" s="39"/>
      <c r="F157" s="39"/>
      <c r="G157" s="39"/>
      <c r="H157" s="39">
        <f ca="1">+SUM(H153:H156)</f>
        <v>-762.80888183980824</v>
      </c>
      <c r="I157" s="39">
        <f ca="1">+SUM(I153:I156)</f>
        <v>-1480.5969649353733</v>
      </c>
      <c r="J157" s="39">
        <f ca="1">+SUM(J153:J156)</f>
        <v>-2329.3790566601601</v>
      </c>
      <c r="K157" s="39">
        <f ca="1">+SUM(K153:K156)</f>
        <v>-3175.7988480031408</v>
      </c>
      <c r="L157" s="39">
        <f ca="1">+SUM(L153:L156)</f>
        <v>-4339.4686192198287</v>
      </c>
      <c r="M157" s="40"/>
      <c r="T157" s="2"/>
    </row>
    <row r="158" spans="2:20" x14ac:dyDescent="0.2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2:20" x14ac:dyDescent="0.2">
      <c r="B159" s="19" t="s">
        <v>167</v>
      </c>
      <c r="C159" s="19"/>
      <c r="D159" s="19"/>
      <c r="E159" s="19"/>
      <c r="F159" s="19"/>
      <c r="G159" s="19"/>
      <c r="H159" s="19">
        <f>+G161</f>
        <v>300</v>
      </c>
      <c r="I159" s="19">
        <f t="shared" ref="I159:L159" ca="1" si="62">+H161</f>
        <v>300</v>
      </c>
      <c r="J159" s="19">
        <f t="shared" ca="1" si="62"/>
        <v>300</v>
      </c>
      <c r="K159" s="19">
        <f t="shared" ca="1" si="62"/>
        <v>300</v>
      </c>
      <c r="L159" s="19">
        <f t="shared" ca="1" si="62"/>
        <v>300</v>
      </c>
    </row>
    <row r="160" spans="2:20" x14ac:dyDescent="0.2">
      <c r="B160" s="19" t="s">
        <v>168</v>
      </c>
      <c r="C160" s="19"/>
      <c r="D160" s="19"/>
      <c r="E160" s="19"/>
      <c r="F160" s="19"/>
      <c r="G160" s="19"/>
      <c r="H160" s="19">
        <f ca="1">+H151+H157</f>
        <v>0</v>
      </c>
      <c r="I160" s="19">
        <f t="shared" ref="I160:L160" ca="1" si="63">+I151+I157</f>
        <v>0</v>
      </c>
      <c r="J160" s="19">
        <f t="shared" ca="1" si="63"/>
        <v>0</v>
      </c>
      <c r="K160" s="19">
        <f t="shared" ca="1" si="63"/>
        <v>0</v>
      </c>
      <c r="L160" s="19">
        <f t="shared" ca="1" si="63"/>
        <v>0</v>
      </c>
      <c r="T160" s="1"/>
    </row>
    <row r="161" spans="1:20" s="1" customFormat="1" x14ac:dyDescent="0.2">
      <c r="B161" s="39" t="s">
        <v>169</v>
      </c>
      <c r="C161" s="39"/>
      <c r="D161" s="39"/>
      <c r="E161" s="39"/>
      <c r="F161" s="39"/>
      <c r="G161" s="39">
        <f>+G85</f>
        <v>300</v>
      </c>
      <c r="H161" s="39">
        <f ca="1">SUM(H159:H160)</f>
        <v>300</v>
      </c>
      <c r="I161" s="39">
        <f ca="1">SUM(I159:I160)</f>
        <v>300</v>
      </c>
      <c r="J161" s="39">
        <f ca="1">SUM(J159:J160)</f>
        <v>300</v>
      </c>
      <c r="K161" s="39">
        <f ca="1">SUM(K159:K160)</f>
        <v>300</v>
      </c>
      <c r="L161" s="39">
        <f ca="1">SUM(L159:L160)</f>
        <v>300</v>
      </c>
      <c r="M161" s="40"/>
    </row>
    <row r="162" spans="1:20" s="1" customFormat="1" x14ac:dyDescent="0.2"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40"/>
      <c r="T162" s="2"/>
    </row>
    <row r="163" spans="1:20" x14ac:dyDescent="0.2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20" ht="14.25" x14ac:dyDescent="0.2">
      <c r="A164" s="142" t="s">
        <v>144</v>
      </c>
      <c r="B164" s="141" t="s">
        <v>170</v>
      </c>
      <c r="C164" s="141"/>
      <c r="D164" s="141"/>
      <c r="E164" s="141"/>
      <c r="F164" s="141"/>
      <c r="G164" s="141">
        <f>+$F$17</f>
        <v>2023</v>
      </c>
      <c r="H164" s="141">
        <f>+G164+1</f>
        <v>2024</v>
      </c>
      <c r="I164" s="141">
        <f>+H164+1</f>
        <v>2025</v>
      </c>
      <c r="J164" s="141">
        <f>+I164+1</f>
        <v>2026</v>
      </c>
      <c r="K164" s="141">
        <f>+J164+1</f>
        <v>2027</v>
      </c>
      <c r="L164" s="141">
        <f>+K164+1</f>
        <v>2028</v>
      </c>
      <c r="T164" s="25"/>
    </row>
    <row r="165" spans="1:20" s="25" customFormat="1" x14ac:dyDescent="0.2">
      <c r="B165" s="25" t="s">
        <v>171</v>
      </c>
      <c r="H165" s="42">
        <f ca="1">+H151</f>
        <v>762.80888183980824</v>
      </c>
      <c r="I165" s="42">
        <f t="shared" ref="I165:L165" ca="1" si="64">+I151</f>
        <v>1480.5969649353733</v>
      </c>
      <c r="J165" s="42">
        <f t="shared" ca="1" si="64"/>
        <v>2329.3790566601601</v>
      </c>
      <c r="K165" s="42">
        <f t="shared" ca="1" si="64"/>
        <v>3175.7988480031408</v>
      </c>
      <c r="L165" s="42">
        <f t="shared" ca="1" si="64"/>
        <v>4339.4686192198287</v>
      </c>
      <c r="M165" s="29"/>
    </row>
    <row r="166" spans="1:20" s="25" customFormat="1" x14ac:dyDescent="0.2">
      <c r="B166" s="25" t="s">
        <v>167</v>
      </c>
      <c r="H166" s="42">
        <f>+H159</f>
        <v>300</v>
      </c>
      <c r="I166" s="42">
        <f t="shared" ref="I166:L166" ca="1" si="65">+I159</f>
        <v>300</v>
      </c>
      <c r="J166" s="42">
        <f t="shared" ca="1" si="65"/>
        <v>300</v>
      </c>
      <c r="K166" s="42">
        <f t="shared" ca="1" si="65"/>
        <v>300</v>
      </c>
      <c r="L166" s="42">
        <f t="shared" ca="1" si="65"/>
        <v>300</v>
      </c>
      <c r="M166" s="29"/>
    </row>
    <row r="167" spans="1:20" s="25" customFormat="1" x14ac:dyDescent="0.2">
      <c r="B167" s="25" t="s">
        <v>172</v>
      </c>
      <c r="H167" s="42">
        <f>-$F$22</f>
        <v>-300</v>
      </c>
      <c r="I167" s="42">
        <f t="shared" ref="I167:L167" si="66">-$F$22</f>
        <v>-300</v>
      </c>
      <c r="J167" s="42">
        <f t="shared" si="66"/>
        <v>-300</v>
      </c>
      <c r="K167" s="42">
        <f t="shared" si="66"/>
        <v>-300</v>
      </c>
      <c r="L167" s="42">
        <f t="shared" si="66"/>
        <v>-300</v>
      </c>
      <c r="M167" s="29"/>
      <c r="T167" s="46"/>
    </row>
    <row r="168" spans="1:20" s="46" customFormat="1" x14ac:dyDescent="0.2">
      <c r="B168" s="46" t="s">
        <v>173</v>
      </c>
      <c r="H168" s="62">
        <f ca="1">+SUM(H165:H167)</f>
        <v>762.80888183980824</v>
      </c>
      <c r="I168" s="62">
        <f t="shared" ref="I168:L168" ca="1" si="67">+SUM(I165:I167)</f>
        <v>1480.5969649353733</v>
      </c>
      <c r="J168" s="62">
        <f t="shared" ca="1" si="67"/>
        <v>2329.3790566601601</v>
      </c>
      <c r="K168" s="62">
        <f t="shared" ca="1" si="67"/>
        <v>3175.7988480031408</v>
      </c>
      <c r="L168" s="62">
        <f t="shared" ca="1" si="67"/>
        <v>4339.4686192198287</v>
      </c>
      <c r="M168" s="47"/>
      <c r="T168" s="25"/>
    </row>
    <row r="169" spans="1:20" s="25" customFormat="1" x14ac:dyDescent="0.2">
      <c r="H169" s="64"/>
      <c r="I169" s="64"/>
      <c r="J169" s="64"/>
      <c r="K169" s="64"/>
      <c r="L169" s="64"/>
      <c r="M169" s="29"/>
      <c r="T169" s="2"/>
    </row>
    <row r="170" spans="1:20" x14ac:dyDescent="0.2">
      <c r="B170" s="55" t="s">
        <v>174</v>
      </c>
      <c r="C170" s="19"/>
      <c r="D170" s="33">
        <f>+K17</f>
        <v>9.5000000000000001E-2</v>
      </c>
      <c r="E170" s="19"/>
      <c r="F170" s="19"/>
      <c r="G170" s="19"/>
      <c r="H170" s="19"/>
      <c r="I170" s="19"/>
      <c r="J170" s="19"/>
      <c r="K170" s="19"/>
      <c r="L170" s="19"/>
    </row>
    <row r="171" spans="1:20" x14ac:dyDescent="0.2">
      <c r="B171" s="19" t="s">
        <v>175</v>
      </c>
      <c r="C171" s="19"/>
      <c r="D171" s="19"/>
      <c r="E171" s="19"/>
      <c r="F171" s="19"/>
      <c r="G171" s="19"/>
      <c r="H171" s="19">
        <f>+G173</f>
        <v>0</v>
      </c>
      <c r="I171" s="19">
        <f t="shared" ref="I171:L171" ca="1" si="68">+H173</f>
        <v>0</v>
      </c>
      <c r="J171" s="19">
        <f t="shared" ca="1" si="68"/>
        <v>0</v>
      </c>
      <c r="K171" s="19">
        <f t="shared" ca="1" si="68"/>
        <v>0</v>
      </c>
      <c r="L171" s="19">
        <f t="shared" ca="1" si="68"/>
        <v>0</v>
      </c>
    </row>
    <row r="172" spans="1:20" x14ac:dyDescent="0.2">
      <c r="B172" s="19" t="s">
        <v>176</v>
      </c>
      <c r="C172" s="19"/>
      <c r="D172" s="23">
        <v>1</v>
      </c>
      <c r="E172" s="19"/>
      <c r="F172" s="19"/>
      <c r="G172" s="19"/>
      <c r="H172" s="19">
        <f ca="1">+IF($D172=1,-MIN(H171,H$168),0)</f>
        <v>0</v>
      </c>
      <c r="I172" s="19">
        <f t="shared" ref="I172:L172" ca="1" si="69">+IF($D172=1,-MIN(I171,I$168),0)</f>
        <v>0</v>
      </c>
      <c r="J172" s="19">
        <f t="shared" ca="1" si="69"/>
        <v>0</v>
      </c>
      <c r="K172" s="19">
        <f t="shared" ca="1" si="69"/>
        <v>0</v>
      </c>
      <c r="L172" s="19">
        <f t="shared" ca="1" si="69"/>
        <v>0</v>
      </c>
      <c r="T172" s="1"/>
    </row>
    <row r="173" spans="1:20" s="1" customFormat="1" x14ac:dyDescent="0.2">
      <c r="B173" s="39" t="s">
        <v>177</v>
      </c>
      <c r="C173" s="39"/>
      <c r="D173" s="39"/>
      <c r="E173" s="39"/>
      <c r="F173" s="39"/>
      <c r="G173" s="39">
        <f>+D33</f>
        <v>0</v>
      </c>
      <c r="H173" s="39">
        <f ca="1">SUM(H171:H172)</f>
        <v>0</v>
      </c>
      <c r="I173" s="39">
        <f t="shared" ref="I173:K173" ca="1" si="70">SUM(I171:I172)</f>
        <v>0</v>
      </c>
      <c r="J173" s="39">
        <f t="shared" ca="1" si="70"/>
        <v>0</v>
      </c>
      <c r="K173" s="39">
        <f t="shared" ca="1" si="70"/>
        <v>0</v>
      </c>
      <c r="L173" s="39">
        <f ca="1">SUM(L171:L172)</f>
        <v>0</v>
      </c>
      <c r="M173" s="40"/>
      <c r="T173" s="2"/>
    </row>
    <row r="174" spans="1:20" x14ac:dyDescent="0.2">
      <c r="B174" s="19" t="s">
        <v>124</v>
      </c>
      <c r="C174" s="19"/>
      <c r="D174" s="19"/>
      <c r="E174" s="19"/>
      <c r="F174" s="19"/>
      <c r="G174" s="19"/>
      <c r="H174" s="19">
        <f ca="1">IF(circ=1,AVERAGE(G173:H173)*$D170,0)</f>
        <v>0</v>
      </c>
      <c r="I174" s="19">
        <f ca="1">IF(circ=1,AVERAGE(H173:I173)*$D170,0)</f>
        <v>0</v>
      </c>
      <c r="J174" s="19">
        <f ca="1">IF(circ=1,AVERAGE(I173:J173)*$D170,0)</f>
        <v>0</v>
      </c>
      <c r="K174" s="19">
        <f ca="1">IF(circ=1,AVERAGE(J173:K173)*$D170,0)</f>
        <v>0</v>
      </c>
      <c r="L174" s="19">
        <f ca="1">IF(circ=1,AVERAGE(K173:L173)*$D170,0)</f>
        <v>0</v>
      </c>
    </row>
    <row r="175" spans="1:20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20" x14ac:dyDescent="0.2">
      <c r="B176" s="55" t="s">
        <v>178</v>
      </c>
      <c r="C176" s="19"/>
      <c r="D176" s="33">
        <f>+K18</f>
        <v>0.1</v>
      </c>
      <c r="E176" s="19"/>
      <c r="F176" s="19"/>
      <c r="G176" s="19"/>
      <c r="H176" s="19"/>
      <c r="I176" s="19"/>
      <c r="J176" s="19"/>
      <c r="K176" s="19"/>
      <c r="L176" s="19"/>
    </row>
    <row r="177" spans="2:20" x14ac:dyDescent="0.2">
      <c r="B177" s="19" t="s">
        <v>175</v>
      </c>
      <c r="C177" s="19"/>
      <c r="D177" s="19"/>
      <c r="E177" s="19"/>
      <c r="F177" s="19"/>
      <c r="G177" s="19"/>
      <c r="H177" s="19">
        <f>+G179</f>
        <v>19950</v>
      </c>
      <c r="I177" s="19">
        <f t="shared" ref="I177:L177" ca="1" si="71">+H179</f>
        <v>19187.19111816019</v>
      </c>
      <c r="J177" s="19">
        <f t="shared" ca="1" si="71"/>
        <v>17706.594153224818</v>
      </c>
      <c r="K177" s="19">
        <f t="shared" ca="1" si="71"/>
        <v>15377.215096564658</v>
      </c>
      <c r="L177" s="19">
        <f t="shared" ca="1" si="71"/>
        <v>12201.416248561516</v>
      </c>
    </row>
    <row r="178" spans="2:20" x14ac:dyDescent="0.2">
      <c r="B178" s="19" t="s">
        <v>176</v>
      </c>
      <c r="C178" s="19"/>
      <c r="D178" s="23">
        <v>1</v>
      </c>
      <c r="E178" s="19"/>
      <c r="F178" s="19"/>
      <c r="G178" s="19"/>
      <c r="H178" s="19">
        <f ca="1">+IF($D178=1,-MIN(H177,H$168+H$172),0)</f>
        <v>-762.80888183980824</v>
      </c>
      <c r="I178" s="19">
        <f t="shared" ref="I178:L178" ca="1" si="72">+IF($D178=1,-MIN(I177,I$168+I$172),0)</f>
        <v>-1480.5969649353733</v>
      </c>
      <c r="J178" s="19">
        <f t="shared" ca="1" si="72"/>
        <v>-2329.3790566601601</v>
      </c>
      <c r="K178" s="19">
        <f t="shared" ca="1" si="72"/>
        <v>-3175.7988480031408</v>
      </c>
      <c r="L178" s="19">
        <f t="shared" ca="1" si="72"/>
        <v>-4339.4686192198287</v>
      </c>
      <c r="T178" s="1"/>
    </row>
    <row r="179" spans="2:20" s="1" customFormat="1" x14ac:dyDescent="0.2">
      <c r="B179" s="39" t="s">
        <v>177</v>
      </c>
      <c r="C179" s="39"/>
      <c r="D179" s="39"/>
      <c r="E179" s="39"/>
      <c r="F179" s="39"/>
      <c r="G179" s="39">
        <f>+D34</f>
        <v>19950</v>
      </c>
      <c r="H179" s="39">
        <f ca="1">SUM(H177:H178)</f>
        <v>19187.19111816019</v>
      </c>
      <c r="I179" s="39">
        <f ca="1">SUM(I177:I178)</f>
        <v>17706.594153224818</v>
      </c>
      <c r="J179" s="39">
        <f t="shared" ref="J179:K179" ca="1" si="73">SUM(J177:J178)</f>
        <v>15377.215096564658</v>
      </c>
      <c r="K179" s="39">
        <f t="shared" ca="1" si="73"/>
        <v>12201.416248561516</v>
      </c>
      <c r="L179" s="39">
        <f ca="1">SUM(L177:L178)</f>
        <v>7861.9476293416874</v>
      </c>
      <c r="M179" s="40"/>
      <c r="T179" s="2"/>
    </row>
    <row r="180" spans="2:20" x14ac:dyDescent="0.2">
      <c r="B180" s="19" t="s">
        <v>124</v>
      </c>
      <c r="C180" s="19"/>
      <c r="D180" s="19"/>
      <c r="E180" s="19"/>
      <c r="F180" s="19"/>
      <c r="G180" s="19"/>
      <c r="H180" s="19">
        <f ca="1">IF(circ=1,AVERAGE(G179:H179)*$D176,0)</f>
        <v>1956.8595559080095</v>
      </c>
      <c r="I180" s="19">
        <f ca="1">IF(circ=1,AVERAGE(H179:I179)*$D176,0)</f>
        <v>1844.6892635692504</v>
      </c>
      <c r="J180" s="19">
        <f ca="1">IF(circ=1,AVERAGE(I179:J179)*$D176,0)</f>
        <v>1654.1904624894739</v>
      </c>
      <c r="K180" s="19">
        <f ca="1">IF(circ=1,AVERAGE(J179:K179)*$D176,0)</f>
        <v>1378.9315672563089</v>
      </c>
      <c r="L180" s="19">
        <f ca="1">IF(circ=1,AVERAGE(K179:L179)*$D176,0)</f>
        <v>1003.1681938951602</v>
      </c>
    </row>
    <row r="181" spans="2:20" x14ac:dyDescent="0.2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2:20" x14ac:dyDescent="0.2">
      <c r="B182" s="55" t="s">
        <v>179</v>
      </c>
      <c r="C182" s="19"/>
      <c r="D182" s="33">
        <f>+K19</f>
        <v>0.1</v>
      </c>
      <c r="E182" s="19"/>
      <c r="F182" s="19"/>
      <c r="G182" s="19"/>
      <c r="H182" s="19"/>
      <c r="I182" s="19"/>
      <c r="J182" s="19"/>
      <c r="K182" s="19"/>
      <c r="L182" s="19"/>
    </row>
    <row r="183" spans="2:20" x14ac:dyDescent="0.2">
      <c r="B183" s="19" t="s">
        <v>175</v>
      </c>
      <c r="C183" s="19"/>
      <c r="D183" s="19"/>
      <c r="E183" s="19"/>
      <c r="F183" s="19"/>
      <c r="G183" s="19"/>
      <c r="H183" s="19">
        <f>+G185</f>
        <v>13300</v>
      </c>
      <c r="I183" s="19">
        <f t="shared" ref="I183:L183" ca="1" si="74">+H185</f>
        <v>13300</v>
      </c>
      <c r="J183" s="19">
        <f t="shared" ca="1" si="74"/>
        <v>13300</v>
      </c>
      <c r="K183" s="19">
        <f t="shared" ca="1" si="74"/>
        <v>13300</v>
      </c>
      <c r="L183" s="19">
        <f t="shared" ca="1" si="74"/>
        <v>13300</v>
      </c>
    </row>
    <row r="184" spans="2:20" x14ac:dyDescent="0.2">
      <c r="B184" s="19" t="s">
        <v>176</v>
      </c>
      <c r="C184" s="19"/>
      <c r="D184" s="23">
        <v>1</v>
      </c>
      <c r="E184" s="19"/>
      <c r="F184" s="19"/>
      <c r="G184" s="19"/>
      <c r="H184" s="19">
        <f ca="1">+IF($D184=1,-MIN(H183,H$168+H$172+H$178),0)</f>
        <v>0</v>
      </c>
      <c r="I184" s="19">
        <f t="shared" ref="I184:L184" ca="1" si="75">+IF($D184=1,-MIN(I183,I$168+I$172+I$178),0)</f>
        <v>0</v>
      </c>
      <c r="J184" s="19">
        <f t="shared" ca="1" si="75"/>
        <v>0</v>
      </c>
      <c r="K184" s="19">
        <f t="shared" ca="1" si="75"/>
        <v>0</v>
      </c>
      <c r="L184" s="19">
        <f t="shared" ca="1" si="75"/>
        <v>0</v>
      </c>
      <c r="T184" s="1"/>
    </row>
    <row r="185" spans="2:20" s="1" customFormat="1" x14ac:dyDescent="0.2">
      <c r="B185" s="39" t="s">
        <v>177</v>
      </c>
      <c r="C185" s="39"/>
      <c r="D185" s="39"/>
      <c r="E185" s="39"/>
      <c r="F185" s="39"/>
      <c r="G185" s="39">
        <f>+D35</f>
        <v>13300</v>
      </c>
      <c r="H185" s="39">
        <f ca="1">SUM(H183:H184)</f>
        <v>13300</v>
      </c>
      <c r="I185" s="39">
        <f t="shared" ref="I185:K185" ca="1" si="76">SUM(I183:I184)</f>
        <v>13300</v>
      </c>
      <c r="J185" s="39">
        <f t="shared" ca="1" si="76"/>
        <v>13300</v>
      </c>
      <c r="K185" s="39">
        <f t="shared" ca="1" si="76"/>
        <v>13300</v>
      </c>
      <c r="L185" s="39">
        <f ca="1">SUM(L183:L184)</f>
        <v>13300</v>
      </c>
      <c r="M185" s="40"/>
      <c r="T185" s="2"/>
    </row>
    <row r="186" spans="2:20" x14ac:dyDescent="0.2">
      <c r="B186" s="19" t="s">
        <v>124</v>
      </c>
      <c r="C186" s="19"/>
      <c r="D186" s="19"/>
      <c r="E186" s="19"/>
      <c r="F186" s="19"/>
      <c r="G186" s="19"/>
      <c r="H186" s="19">
        <f ca="1">IF(circ=1,AVERAGE(G185:H185)*$D182,0)</f>
        <v>1330</v>
      </c>
      <c r="I186" s="19">
        <f ca="1">IF(circ=1,AVERAGE(H185:I185)*$D182,0)</f>
        <v>1330</v>
      </c>
      <c r="J186" s="19">
        <f ca="1">IF(circ=1,AVERAGE(I185:J185)*$D182,0)</f>
        <v>1330</v>
      </c>
      <c r="K186" s="19">
        <f ca="1">IF(circ=1,AVERAGE(J185:K185)*$D182,0)</f>
        <v>1330</v>
      </c>
      <c r="L186" s="19">
        <f ca="1">IF(circ=1,AVERAGE(K185:L185)*$D182,0)</f>
        <v>1330</v>
      </c>
    </row>
    <row r="187" spans="2:20" x14ac:dyDescent="0.2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2:20" x14ac:dyDescent="0.2">
      <c r="B188" s="55" t="s">
        <v>180</v>
      </c>
      <c r="C188" s="19"/>
      <c r="D188" s="13">
        <v>0</v>
      </c>
      <c r="E188" s="19"/>
      <c r="F188" s="19"/>
      <c r="G188" s="19"/>
      <c r="H188" s="19"/>
      <c r="I188" s="19"/>
      <c r="J188" s="19"/>
      <c r="K188" s="19"/>
      <c r="L188" s="19"/>
    </row>
    <row r="189" spans="2:20" x14ac:dyDescent="0.2">
      <c r="B189" s="19" t="s">
        <v>175</v>
      </c>
      <c r="C189" s="19"/>
      <c r="D189" s="19"/>
      <c r="E189" s="19"/>
      <c r="F189" s="19"/>
      <c r="G189" s="19"/>
      <c r="H189" s="19">
        <f>+G192</f>
        <v>13300</v>
      </c>
      <c r="I189" s="19">
        <f t="shared" ref="I189:L189" ca="1" si="77">+H192</f>
        <v>14630</v>
      </c>
      <c r="J189" s="19">
        <f t="shared" ca="1" si="77"/>
        <v>16093</v>
      </c>
      <c r="K189" s="19">
        <f t="shared" ca="1" si="77"/>
        <v>17702.3</v>
      </c>
      <c r="L189" s="19">
        <f t="shared" ca="1" si="77"/>
        <v>19472.53</v>
      </c>
    </row>
    <row r="190" spans="2:20" x14ac:dyDescent="0.2">
      <c r="B190" s="19" t="s">
        <v>123</v>
      </c>
      <c r="C190" s="19"/>
      <c r="D190" s="33">
        <f>+K20</f>
        <v>0.1</v>
      </c>
      <c r="E190" s="19"/>
      <c r="F190" s="19"/>
      <c r="G190" s="19"/>
      <c r="H190" s="19">
        <f>+$D$190*H189</f>
        <v>1330</v>
      </c>
      <c r="I190" s="19">
        <f ca="1">+$D$190*I189</f>
        <v>1463</v>
      </c>
      <c r="J190" s="19">
        <f ca="1">+$D$190*J189</f>
        <v>1609.3000000000002</v>
      </c>
      <c r="K190" s="19">
        <f ca="1">+$D$190*K189</f>
        <v>1770.23</v>
      </c>
      <c r="L190" s="19">
        <f ca="1">+$D$190*L189</f>
        <v>1947.2529999999999</v>
      </c>
    </row>
    <row r="191" spans="2:20" x14ac:dyDescent="0.2">
      <c r="B191" s="19" t="s">
        <v>176</v>
      </c>
      <c r="C191" s="19"/>
      <c r="D191" s="23">
        <v>1</v>
      </c>
      <c r="E191" s="19"/>
      <c r="F191" s="19"/>
      <c r="G191" s="19"/>
      <c r="H191" s="19">
        <f ca="1">+IF($D191=1,-MIN(H189+H190,H$168+H$172+H$178+H$184),0)</f>
        <v>0</v>
      </c>
      <c r="I191" s="19">
        <f t="shared" ref="I191:L191" ca="1" si="78">+IF($D191=1,-MIN(I189+I190,I$168+I$172+I$178+I$184),0)</f>
        <v>0</v>
      </c>
      <c r="J191" s="19">
        <f t="shared" ca="1" si="78"/>
        <v>0</v>
      </c>
      <c r="K191" s="19">
        <f t="shared" ca="1" si="78"/>
        <v>0</v>
      </c>
      <c r="L191" s="19">
        <f t="shared" ca="1" si="78"/>
        <v>0</v>
      </c>
    </row>
    <row r="192" spans="2:20" x14ac:dyDescent="0.2">
      <c r="B192" s="39" t="s">
        <v>177</v>
      </c>
      <c r="C192" s="39"/>
      <c r="D192" s="39"/>
      <c r="E192" s="39"/>
      <c r="F192" s="39"/>
      <c r="G192" s="39">
        <f>+D36</f>
        <v>13300</v>
      </c>
      <c r="H192" s="39">
        <f ca="1">SUM(H189:H191)</f>
        <v>14630</v>
      </c>
      <c r="I192" s="39">
        <f ca="1">SUM(I189:I191)</f>
        <v>16093</v>
      </c>
      <c r="J192" s="39">
        <f ca="1">SUM(J189:J191)</f>
        <v>17702.3</v>
      </c>
      <c r="K192" s="39">
        <f ca="1">SUM(K189:K191)</f>
        <v>19472.53</v>
      </c>
      <c r="L192" s="39">
        <f ca="1">SUM(L189:L191)</f>
        <v>21419.782999999999</v>
      </c>
    </row>
    <row r="193" spans="2:12" x14ac:dyDescent="0.2">
      <c r="B193" s="19" t="s">
        <v>124</v>
      </c>
      <c r="C193" s="19"/>
      <c r="D193" s="19"/>
      <c r="E193" s="19"/>
      <c r="F193" s="19"/>
      <c r="G193" s="19"/>
      <c r="H193" s="19">
        <f ca="1">IF(circ=1,AVERAGE(G192:H192)*$D188,0)</f>
        <v>0</v>
      </c>
      <c r="I193" s="19">
        <f ca="1">IF(circ=1,AVERAGE(H192:I192)*$D188,0)</f>
        <v>0</v>
      </c>
      <c r="J193" s="19">
        <f ca="1">IF(circ=1,AVERAGE(I192:J192)*$D188,0)</f>
        <v>0</v>
      </c>
      <c r="K193" s="19">
        <f ca="1">IF(circ=1,AVERAGE(J192:K192)*$D188,0)</f>
        <v>0</v>
      </c>
      <c r="L193" s="19">
        <f ca="1">IF(circ=1,AVERAGE(K192:L192)*$D188,0)</f>
        <v>0</v>
      </c>
    </row>
    <row r="194" spans="2:12" x14ac:dyDescent="0.2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2:12" x14ac:dyDescent="0.2">
      <c r="B195" s="55" t="s">
        <v>181</v>
      </c>
      <c r="C195" s="19"/>
      <c r="D195" s="33">
        <f>+F20</f>
        <v>4.4999999999999998E-2</v>
      </c>
      <c r="E195" s="19"/>
      <c r="F195" s="19"/>
      <c r="G195" s="19"/>
      <c r="H195" s="19"/>
      <c r="I195" s="19"/>
      <c r="J195" s="19"/>
      <c r="K195" s="19"/>
      <c r="L195" s="19"/>
    </row>
    <row r="196" spans="2:12" x14ac:dyDescent="0.2">
      <c r="B196" s="19" t="s">
        <v>175</v>
      </c>
      <c r="C196" s="19"/>
      <c r="D196" s="19"/>
      <c r="E196" s="19"/>
      <c r="F196" s="19"/>
      <c r="G196" s="19"/>
      <c r="H196" s="19">
        <f>+G198</f>
        <v>300</v>
      </c>
      <c r="I196" s="19">
        <f ca="1">+H198</f>
        <v>300</v>
      </c>
      <c r="J196" s="19">
        <f ca="1">+I198</f>
        <v>300</v>
      </c>
      <c r="K196" s="19">
        <f t="shared" ref="K196:L196" ca="1" si="79">+J198</f>
        <v>300</v>
      </c>
      <c r="L196" s="19">
        <f t="shared" ca="1" si="79"/>
        <v>300</v>
      </c>
    </row>
    <row r="197" spans="2:12" x14ac:dyDescent="0.2">
      <c r="B197" s="19" t="s">
        <v>168</v>
      </c>
      <c r="C197" s="19"/>
      <c r="D197" s="23">
        <v>0</v>
      </c>
      <c r="E197" s="19"/>
      <c r="F197" s="19"/>
      <c r="G197" s="19"/>
      <c r="H197" s="19">
        <f ca="1">+H160</f>
        <v>0</v>
      </c>
      <c r="I197" s="19">
        <f ca="1">+I160</f>
        <v>0</v>
      </c>
      <c r="J197" s="19">
        <f ca="1">+J160</f>
        <v>0</v>
      </c>
      <c r="K197" s="19">
        <f ca="1">+K160</f>
        <v>0</v>
      </c>
      <c r="L197" s="19">
        <f ca="1">+L160</f>
        <v>0</v>
      </c>
    </row>
    <row r="198" spans="2:12" x14ac:dyDescent="0.2">
      <c r="B198" s="39" t="s">
        <v>177</v>
      </c>
      <c r="C198" s="39"/>
      <c r="D198" s="39"/>
      <c r="E198" s="39"/>
      <c r="F198" s="39"/>
      <c r="G198" s="39">
        <f>+G161</f>
        <v>300</v>
      </c>
      <c r="H198" s="39">
        <f ca="1">SUM(H196:H197)</f>
        <v>300</v>
      </c>
      <c r="I198" s="39">
        <f ca="1">SUM(I196:I197)</f>
        <v>300</v>
      </c>
      <c r="J198" s="39">
        <f ca="1">SUM(J196:J197)</f>
        <v>300</v>
      </c>
      <c r="K198" s="39">
        <f ca="1">SUM(K196:K197)</f>
        <v>300</v>
      </c>
      <c r="L198" s="39">
        <f ca="1">SUM(L196:L197)</f>
        <v>300</v>
      </c>
    </row>
    <row r="199" spans="2:12" x14ac:dyDescent="0.2">
      <c r="B199" s="19" t="s">
        <v>182</v>
      </c>
      <c r="C199" s="19"/>
      <c r="D199" s="19"/>
      <c r="E199" s="19"/>
      <c r="F199" s="19"/>
      <c r="G199" s="19"/>
      <c r="H199" s="19">
        <f ca="1">IF(circ=1,AVERAGE(G198:H198)*$D195,0)</f>
        <v>13.5</v>
      </c>
      <c r="I199" s="19">
        <f ca="1">IF(circ=1,AVERAGE(H198:I198)*$D195,0)</f>
        <v>13.5</v>
      </c>
      <c r="J199" s="19">
        <f ca="1">IF(circ=1,AVERAGE(I198:J198)*$D195,0)</f>
        <v>13.5</v>
      </c>
      <c r="K199" s="19">
        <f ca="1">IF(circ=1,AVERAGE(J198:K198)*$D195,0)</f>
        <v>13.5</v>
      </c>
      <c r="L199" s="19">
        <f ca="1">IF(circ=1,AVERAGE(K198:L198)*$D195,0)</f>
        <v>13.5</v>
      </c>
    </row>
    <row r="200" spans="2:12" x14ac:dyDescent="0.2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2:12" x14ac:dyDescent="0.2">
      <c r="B201" s="19" t="s">
        <v>183</v>
      </c>
      <c r="C201" s="19"/>
      <c r="D201" s="19"/>
      <c r="E201" s="19"/>
      <c r="F201" s="19"/>
      <c r="G201" s="19">
        <f>+G173+G179+G185+G192</f>
        <v>46550</v>
      </c>
      <c r="H201" s="19">
        <f t="shared" ref="H201:L202" ca="1" si="80">+H173+H179+H185+H192</f>
        <v>47117.19111816019</v>
      </c>
      <c r="I201" s="19">
        <f t="shared" ca="1" si="80"/>
        <v>47099.594153224818</v>
      </c>
      <c r="J201" s="19">
        <f t="shared" ca="1" si="80"/>
        <v>46379.515096564661</v>
      </c>
      <c r="K201" s="19">
        <f t="shared" ca="1" si="80"/>
        <v>44973.946248561515</v>
      </c>
      <c r="L201" s="19">
        <f t="shared" ca="1" si="80"/>
        <v>42581.730629341691</v>
      </c>
    </row>
    <row r="202" spans="2:12" x14ac:dyDescent="0.2">
      <c r="B202" s="19" t="s">
        <v>184</v>
      </c>
      <c r="C202" s="19"/>
      <c r="D202" s="19"/>
      <c r="E202" s="19"/>
      <c r="F202" s="19"/>
      <c r="G202" s="19"/>
      <c r="H202" s="19">
        <f ca="1">+H174+H180+H186+H193</f>
        <v>3286.8595559080095</v>
      </c>
      <c r="I202" s="19">
        <f t="shared" ca="1" si="80"/>
        <v>3174.6892635692502</v>
      </c>
      <c r="J202" s="19">
        <f t="shared" ca="1" si="80"/>
        <v>2984.1904624894742</v>
      </c>
      <c r="K202" s="19">
        <f t="shared" ca="1" si="80"/>
        <v>2708.9315672563089</v>
      </c>
      <c r="L202" s="19">
        <f t="shared" ca="1" si="80"/>
        <v>2333.1681938951601</v>
      </c>
    </row>
    <row r="203" spans="2:12" x14ac:dyDescent="0.2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2:12" x14ac:dyDescent="0.2">
      <c r="B204" s="19" t="s">
        <v>185</v>
      </c>
      <c r="C204" s="19"/>
      <c r="D204" s="19"/>
      <c r="E204" s="19"/>
      <c r="F204" s="19"/>
      <c r="G204" s="19">
        <f>+G173+G179+G185+G192-G198</f>
        <v>46250</v>
      </c>
      <c r="H204" s="19">
        <f ca="1">+H173+H179+H185+H192-H198</f>
        <v>46817.19111816019</v>
      </c>
      <c r="I204" s="19">
        <f t="shared" ref="I204:L205" ca="1" si="81">+I173+I179+I185+I192-I198</f>
        <v>46799.594153224818</v>
      </c>
      <c r="J204" s="19">
        <f t="shared" ca="1" si="81"/>
        <v>46079.515096564661</v>
      </c>
      <c r="K204" s="19">
        <f t="shared" ca="1" si="81"/>
        <v>44673.946248561515</v>
      </c>
      <c r="L204" s="19">
        <f t="shared" ca="1" si="81"/>
        <v>42281.730629341691</v>
      </c>
    </row>
    <row r="205" spans="2:12" x14ac:dyDescent="0.2">
      <c r="B205" s="19" t="s">
        <v>186</v>
      </c>
      <c r="C205" s="19"/>
      <c r="D205" s="19"/>
      <c r="E205" s="19"/>
      <c r="F205" s="19"/>
      <c r="G205" s="19"/>
      <c r="H205" s="19">
        <f ca="1">+H174+H180+H186+H193-H199</f>
        <v>3273.3595559080095</v>
      </c>
      <c r="I205" s="19">
        <f t="shared" ca="1" si="81"/>
        <v>3161.1892635692502</v>
      </c>
      <c r="J205" s="19">
        <f t="shared" ca="1" si="81"/>
        <v>2970.6904624894742</v>
      </c>
      <c r="K205" s="19">
        <f t="shared" ca="1" si="81"/>
        <v>2695.4315672563089</v>
      </c>
      <c r="L205" s="19">
        <f t="shared" ca="1" si="81"/>
        <v>2319.6681938951601</v>
      </c>
    </row>
    <row r="206" spans="2:12" x14ac:dyDescent="0.2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2:12" x14ac:dyDescent="0.2">
      <c r="B207" s="44" t="s">
        <v>187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2:12" x14ac:dyDescent="0.2">
      <c r="B208" s="19" t="s">
        <v>188</v>
      </c>
      <c r="C208" s="19"/>
      <c r="D208" s="19"/>
      <c r="E208" s="19"/>
      <c r="F208" s="19"/>
      <c r="G208" s="11">
        <f>+G201/G$58</f>
        <v>7</v>
      </c>
      <c r="H208" s="11">
        <f t="shared" ref="H208:L208" ca="1" si="82">+H201/H$58</f>
        <v>6.2556015823367233</v>
      </c>
      <c r="I208" s="11">
        <f t="shared" ca="1" si="82"/>
        <v>5.521692366777744</v>
      </c>
      <c r="J208" s="11">
        <f t="shared" ca="1" si="82"/>
        <v>4.8017487634761649</v>
      </c>
      <c r="K208" s="11">
        <f t="shared" ca="1" si="82"/>
        <v>4.1124828630457522</v>
      </c>
      <c r="L208" s="11">
        <f t="shared" ca="1" si="82"/>
        <v>3.4394330992261533</v>
      </c>
    </row>
    <row r="209" spans="1:20" x14ac:dyDescent="0.2">
      <c r="B209" s="19" t="s">
        <v>189</v>
      </c>
      <c r="C209" s="19"/>
      <c r="D209" s="19"/>
      <c r="E209" s="19"/>
      <c r="F209" s="19"/>
      <c r="G209" s="11"/>
      <c r="H209" s="11">
        <f ca="1">+H$58/H202</f>
        <v>2.2915490826072884</v>
      </c>
      <c r="I209" s="11">
        <f t="shared" ref="I209:L209" ca="1" si="83">+I$58/I202</f>
        <v>2.6868519378838207</v>
      </c>
      <c r="J209" s="11">
        <f t="shared" ca="1" si="83"/>
        <v>3.2366834896799319</v>
      </c>
      <c r="K209" s="11">
        <f t="shared" ca="1" si="83"/>
        <v>4.0370010391500175</v>
      </c>
      <c r="L209" s="11">
        <f t="shared" ca="1" si="83"/>
        <v>5.3062828290193611</v>
      </c>
    </row>
    <row r="210" spans="1:20" x14ac:dyDescent="0.2">
      <c r="B210" s="19"/>
      <c r="C210" s="19"/>
      <c r="D210" s="19"/>
      <c r="E210" s="19"/>
      <c r="F210" s="19"/>
      <c r="G210" s="11"/>
      <c r="H210" s="11"/>
      <c r="I210" s="11"/>
      <c r="J210" s="11"/>
      <c r="K210" s="11"/>
      <c r="L210" s="11"/>
    </row>
    <row r="211" spans="1:20" x14ac:dyDescent="0.2">
      <c r="B211" s="19" t="s">
        <v>190</v>
      </c>
      <c r="C211" s="19"/>
      <c r="D211" s="19"/>
      <c r="E211" s="19"/>
      <c r="F211" s="19"/>
      <c r="G211" s="11">
        <f>+G204/G$58</f>
        <v>6.9548872180451129</v>
      </c>
      <c r="H211" s="11">
        <f t="shared" ref="H211:L211" ca="1" si="84">+H204/H$58</f>
        <v>6.2157715239193045</v>
      </c>
      <c r="I211" s="11">
        <f t="shared" ca="1" si="84"/>
        <v>5.4865220486504933</v>
      </c>
      <c r="J211" s="11">
        <f t="shared" ca="1" si="84"/>
        <v>4.7706892617533976</v>
      </c>
      <c r="K211" s="11">
        <f t="shared" ca="1" si="84"/>
        <v>4.0850504280066948</v>
      </c>
      <c r="L211" s="11">
        <f t="shared" ca="1" si="84"/>
        <v>3.4152013473805192</v>
      </c>
    </row>
    <row r="212" spans="1:20" x14ac:dyDescent="0.2">
      <c r="B212" s="19" t="s">
        <v>191</v>
      </c>
      <c r="C212" s="19"/>
      <c r="D212" s="19"/>
      <c r="E212" s="19"/>
      <c r="F212" s="19"/>
      <c r="G212" s="11"/>
      <c r="H212" s="11">
        <f ca="1">+H$58/H205</f>
        <v>2.3009998966980785</v>
      </c>
      <c r="I212" s="11">
        <f t="shared" ref="I212:L212" ca="1" si="85">+I$58/I205</f>
        <v>2.6983262591398907</v>
      </c>
      <c r="J212" s="11">
        <f t="shared" ca="1" si="85"/>
        <v>3.2513922678789444</v>
      </c>
      <c r="K212" s="11">
        <f t="shared" ca="1" si="85"/>
        <v>4.0572202555050447</v>
      </c>
      <c r="L212" s="11">
        <f t="shared" ca="1" si="85"/>
        <v>5.3371643224934227</v>
      </c>
    </row>
    <row r="213" spans="1:20" x14ac:dyDescent="0.2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20" x14ac:dyDescent="0.2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20" ht="14.25" x14ac:dyDescent="0.2">
      <c r="A215" s="142" t="s">
        <v>144</v>
      </c>
      <c r="B215" s="141" t="s">
        <v>192</v>
      </c>
      <c r="C215" s="141"/>
      <c r="D215" s="141"/>
      <c r="E215" s="141"/>
      <c r="F215" s="141"/>
      <c r="G215" s="141">
        <f>+$F$17</f>
        <v>2023</v>
      </c>
      <c r="H215" s="141">
        <f>+G215+1</f>
        <v>2024</v>
      </c>
      <c r="I215" s="141">
        <f>+H215+1</f>
        <v>2025</v>
      </c>
      <c r="J215" s="141">
        <f>+I215+1</f>
        <v>2026</v>
      </c>
      <c r="K215" s="141">
        <f>+J215+1</f>
        <v>2027</v>
      </c>
      <c r="L215" s="141">
        <f>+K215+1</f>
        <v>2028</v>
      </c>
    </row>
    <row r="216" spans="1:20" x14ac:dyDescent="0.2">
      <c r="B216" s="55" t="s">
        <v>193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20" x14ac:dyDescent="0.2">
      <c r="B217" s="19" t="s">
        <v>175</v>
      </c>
      <c r="C217" s="19"/>
      <c r="D217" s="19"/>
      <c r="E217" s="19"/>
      <c r="F217" s="19"/>
      <c r="G217" s="19"/>
      <c r="H217" s="19">
        <f>+G220</f>
        <v>4000</v>
      </c>
      <c r="I217" s="19">
        <f t="shared" ref="I217:L217" si="86">+H220</f>
        <v>4010</v>
      </c>
      <c r="J217" s="19">
        <f t="shared" si="86"/>
        <v>4020</v>
      </c>
      <c r="K217" s="19">
        <f t="shared" si="86"/>
        <v>4030</v>
      </c>
      <c r="L217" s="19">
        <f t="shared" si="86"/>
        <v>4030</v>
      </c>
    </row>
    <row r="218" spans="1:20" x14ac:dyDescent="0.2">
      <c r="B218" s="19" t="s">
        <v>194</v>
      </c>
      <c r="C218" s="19"/>
      <c r="E218" s="19"/>
      <c r="F218" s="19"/>
      <c r="G218" s="19"/>
      <c r="H218" s="19">
        <f>+$F$25</f>
        <v>10</v>
      </c>
      <c r="I218" s="19">
        <f>+$F$25</f>
        <v>10</v>
      </c>
      <c r="J218" s="19">
        <f>+$F$25</f>
        <v>10</v>
      </c>
      <c r="K218" s="20">
        <v>0</v>
      </c>
      <c r="L218" s="20">
        <v>0</v>
      </c>
    </row>
    <row r="219" spans="1:20" x14ac:dyDescent="0.2">
      <c r="B219" s="19" t="s">
        <v>195</v>
      </c>
      <c r="C219" s="19"/>
      <c r="E219" s="19"/>
      <c r="F219" s="19"/>
      <c r="G219" s="19"/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T219" s="1"/>
    </row>
    <row r="220" spans="1:20" s="1" customFormat="1" x14ac:dyDescent="0.2">
      <c r="B220" s="39" t="s">
        <v>177</v>
      </c>
      <c r="C220" s="39"/>
      <c r="D220" s="39"/>
      <c r="E220" s="39"/>
      <c r="F220" s="39"/>
      <c r="G220" s="39">
        <f>+F24</f>
        <v>4000</v>
      </c>
      <c r="H220" s="39">
        <f>SUM(H217:H219)</f>
        <v>4010</v>
      </c>
      <c r="I220" s="39">
        <f>SUM(I217:I219)</f>
        <v>4020</v>
      </c>
      <c r="J220" s="39">
        <f>SUM(J217:J219)</f>
        <v>4030</v>
      </c>
      <c r="K220" s="39">
        <f t="shared" ref="K220:L220" si="87">SUM(K217:K219)</f>
        <v>4030</v>
      </c>
      <c r="L220" s="39">
        <f t="shared" si="87"/>
        <v>4030</v>
      </c>
      <c r="M220" s="40"/>
      <c r="T220" s="2"/>
    </row>
    <row r="221" spans="1:20" x14ac:dyDescent="0.2"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20" x14ac:dyDescent="0.2">
      <c r="B222" s="19" t="s">
        <v>196</v>
      </c>
      <c r="C222" s="19"/>
      <c r="D222" s="19"/>
      <c r="E222" s="19"/>
      <c r="F222" s="19"/>
      <c r="G222" s="19">
        <f>+$G$220</f>
        <v>4000</v>
      </c>
      <c r="H222" s="19">
        <f>+$G$220</f>
        <v>4000</v>
      </c>
      <c r="I222" s="19">
        <f>+$G$220</f>
        <v>4000</v>
      </c>
      <c r="J222" s="19">
        <f>+$G$220</f>
        <v>4000</v>
      </c>
      <c r="K222" s="19">
        <f t="shared" ref="K222:L222" si="88">+$G$220</f>
        <v>4000</v>
      </c>
      <c r="L222" s="19">
        <f t="shared" si="88"/>
        <v>4000</v>
      </c>
    </row>
    <row r="223" spans="1:20" x14ac:dyDescent="0.2">
      <c r="B223" s="19" t="s">
        <v>197</v>
      </c>
      <c r="C223" s="19"/>
      <c r="D223" s="19"/>
      <c r="E223" s="19"/>
      <c r="F223" s="19"/>
      <c r="G223" s="20">
        <v>0</v>
      </c>
      <c r="H223" s="19">
        <f>+SUM($G$218:H218)</f>
        <v>10</v>
      </c>
      <c r="I223" s="19">
        <f>+SUM($G$218:I218)</f>
        <v>20</v>
      </c>
      <c r="J223" s="19">
        <f>+SUM($G$218:J218)</f>
        <v>30</v>
      </c>
      <c r="K223" s="19">
        <f>+SUM($G$218:K218)</f>
        <v>30</v>
      </c>
      <c r="L223" s="19">
        <f>+SUM($G$218:L218)</f>
        <v>30</v>
      </c>
      <c r="T223" s="5"/>
    </row>
    <row r="224" spans="1:20" s="5" customFormat="1" x14ac:dyDescent="0.2">
      <c r="B224" s="34" t="s">
        <v>198</v>
      </c>
      <c r="C224" s="34"/>
      <c r="D224" s="34"/>
      <c r="E224" s="34"/>
      <c r="F224" s="34"/>
      <c r="G224" s="36">
        <f t="shared" ref="G224:L224" si="89">+G222/G220</f>
        <v>1</v>
      </c>
      <c r="H224" s="36">
        <f t="shared" si="89"/>
        <v>0.99750623441396513</v>
      </c>
      <c r="I224" s="36">
        <f t="shared" si="89"/>
        <v>0.99502487562189057</v>
      </c>
      <c r="J224" s="36">
        <f t="shared" si="89"/>
        <v>0.99255583126550873</v>
      </c>
      <c r="K224" s="36">
        <f t="shared" si="89"/>
        <v>0.99255583126550873</v>
      </c>
      <c r="L224" s="36">
        <f t="shared" si="89"/>
        <v>0.99255583126550873</v>
      </c>
      <c r="M224" s="38"/>
      <c r="T224" s="2"/>
    </row>
    <row r="225" spans="2:20" x14ac:dyDescent="0.2"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2:20" x14ac:dyDescent="0.2"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2:20" x14ac:dyDescent="0.2">
      <c r="B227" s="55" t="s">
        <v>199</v>
      </c>
      <c r="C227" s="19"/>
      <c r="D227" s="19">
        <f>+$F$23</f>
        <v>0.2</v>
      </c>
      <c r="E227" s="19"/>
      <c r="F227" s="19"/>
      <c r="G227" s="19"/>
      <c r="H227" s="19"/>
      <c r="I227" s="19"/>
      <c r="J227" s="19"/>
      <c r="K227" s="19"/>
      <c r="L227" s="19"/>
    </row>
    <row r="228" spans="2:20" x14ac:dyDescent="0.2">
      <c r="B228" s="19" t="s">
        <v>200</v>
      </c>
      <c r="C228" s="19"/>
      <c r="D228" s="19"/>
      <c r="E228" s="19"/>
      <c r="F228" s="19"/>
      <c r="G228" s="19"/>
      <c r="H228" s="19">
        <f t="shared" ref="H228:L229" si="90">+H222*$D$227</f>
        <v>800</v>
      </c>
      <c r="I228" s="19">
        <f t="shared" si="90"/>
        <v>800</v>
      </c>
      <c r="J228" s="19">
        <f t="shared" si="90"/>
        <v>800</v>
      </c>
      <c r="K228" s="19">
        <f t="shared" si="90"/>
        <v>800</v>
      </c>
      <c r="L228" s="19">
        <f t="shared" si="90"/>
        <v>800</v>
      </c>
    </row>
    <row r="229" spans="2:20" x14ac:dyDescent="0.2">
      <c r="B229" s="19" t="s">
        <v>201</v>
      </c>
      <c r="C229" s="19"/>
      <c r="D229" s="19"/>
      <c r="E229" s="19"/>
      <c r="F229" s="19"/>
      <c r="G229" s="19"/>
      <c r="H229" s="19">
        <f t="shared" si="90"/>
        <v>2</v>
      </c>
      <c r="I229" s="19">
        <f t="shared" si="90"/>
        <v>4</v>
      </c>
      <c r="J229" s="19">
        <f t="shared" si="90"/>
        <v>6</v>
      </c>
      <c r="K229" s="19">
        <f t="shared" si="90"/>
        <v>6</v>
      </c>
      <c r="L229" s="19">
        <f>+L223*$D$227</f>
        <v>6</v>
      </c>
    </row>
    <row r="230" spans="2:20" x14ac:dyDescent="0.2">
      <c r="B230" s="19" t="s">
        <v>202</v>
      </c>
      <c r="C230" s="19"/>
      <c r="D230" s="19"/>
      <c r="E230" s="19"/>
      <c r="F230" s="19"/>
      <c r="G230" s="19"/>
      <c r="H230" s="19">
        <f>SUM(H228:H229)</f>
        <v>802</v>
      </c>
      <c r="I230" s="19">
        <f t="shared" ref="I230:L230" si="91">SUM(I228:I229)</f>
        <v>804</v>
      </c>
      <c r="J230" s="19">
        <f t="shared" si="91"/>
        <v>806</v>
      </c>
      <c r="K230" s="19">
        <f t="shared" si="91"/>
        <v>806</v>
      </c>
      <c r="L230" s="19">
        <f t="shared" si="91"/>
        <v>806</v>
      </c>
    </row>
    <row r="231" spans="2:20" x14ac:dyDescent="0.2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2:20" x14ac:dyDescent="0.2">
      <c r="B232" s="55" t="s">
        <v>203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2:20" x14ac:dyDescent="0.2">
      <c r="B233" s="19" t="s">
        <v>175</v>
      </c>
      <c r="C233" s="19"/>
      <c r="D233" s="19"/>
      <c r="E233" s="19"/>
      <c r="F233" s="19"/>
      <c r="G233" s="19"/>
      <c r="H233" s="19">
        <f>+G238</f>
        <v>45697</v>
      </c>
      <c r="I233" s="19">
        <f t="shared" ref="I233:L233" ca="1" si="92">+H238</f>
        <v>46189.584266455196</v>
      </c>
      <c r="J233" s="19">
        <f t="shared" ca="1" si="92"/>
        <v>47205.942708313647</v>
      </c>
      <c r="K233" s="19">
        <f t="shared" ca="1" si="92"/>
        <v>48856.45883081996</v>
      </c>
      <c r="L233" s="19">
        <f t="shared" ca="1" si="92"/>
        <v>51115.953909666176</v>
      </c>
    </row>
    <row r="234" spans="2:20" x14ac:dyDescent="0.2">
      <c r="B234" s="19" t="s">
        <v>204</v>
      </c>
      <c r="C234" s="19"/>
      <c r="D234" s="19"/>
      <c r="E234" s="19"/>
      <c r="F234" s="19"/>
      <c r="G234" s="19"/>
      <c r="H234" s="19">
        <f ca="1">+H75</f>
        <v>1144.5842664551933</v>
      </c>
      <c r="I234" s="19">
        <f ca="1">+I75</f>
        <v>1670.3584418584499</v>
      </c>
      <c r="J234" s="19">
        <f ca="1">+J75</f>
        <v>2306.5161225063157</v>
      </c>
      <c r="K234" s="19">
        <f ca="1">+K75</f>
        <v>3065.4950788462165</v>
      </c>
      <c r="L234" s="19">
        <f ca="1">+L75</f>
        <v>3966.463720910906</v>
      </c>
    </row>
    <row r="235" spans="2:20" x14ac:dyDescent="0.2">
      <c r="B235" s="19" t="s">
        <v>205</v>
      </c>
      <c r="C235" s="19"/>
      <c r="D235" s="19">
        <f>+F27</f>
        <v>15</v>
      </c>
      <c r="E235" s="19"/>
      <c r="F235" s="19"/>
      <c r="G235" s="19"/>
      <c r="H235" s="19">
        <f>+H218*$D$235</f>
        <v>150</v>
      </c>
      <c r="I235" s="19">
        <f t="shared" ref="I235:L235" si="93">+I218*$D$235</f>
        <v>150</v>
      </c>
      <c r="J235" s="19">
        <f t="shared" si="93"/>
        <v>150</v>
      </c>
      <c r="K235" s="19">
        <f t="shared" si="93"/>
        <v>0</v>
      </c>
      <c r="L235" s="19">
        <f t="shared" si="93"/>
        <v>0</v>
      </c>
    </row>
    <row r="236" spans="2:20" x14ac:dyDescent="0.2">
      <c r="B236" s="19" t="s">
        <v>206</v>
      </c>
      <c r="C236" s="19"/>
      <c r="D236" s="19">
        <f>+F28</f>
        <v>0</v>
      </c>
      <c r="E236" s="19"/>
      <c r="F236" s="19"/>
      <c r="G236" s="19"/>
      <c r="H236" s="19">
        <f>+H219*$D$236</f>
        <v>0</v>
      </c>
      <c r="I236" s="19">
        <f t="shared" ref="I236:L236" si="94">+I219*$D$236</f>
        <v>0</v>
      </c>
      <c r="J236" s="19">
        <f t="shared" si="94"/>
        <v>0</v>
      </c>
      <c r="K236" s="19">
        <f t="shared" si="94"/>
        <v>0</v>
      </c>
      <c r="L236" s="19">
        <f t="shared" si="94"/>
        <v>0</v>
      </c>
    </row>
    <row r="237" spans="2:20" x14ac:dyDescent="0.2">
      <c r="B237" s="19" t="s">
        <v>207</v>
      </c>
      <c r="C237" s="19"/>
      <c r="D237" s="19"/>
      <c r="E237" s="19"/>
      <c r="F237" s="19"/>
      <c r="G237" s="19"/>
      <c r="H237" s="19">
        <f>-H230</f>
        <v>-802</v>
      </c>
      <c r="I237" s="19">
        <f>-I230</f>
        <v>-804</v>
      </c>
      <c r="J237" s="19">
        <f>-J230</f>
        <v>-806</v>
      </c>
      <c r="K237" s="19">
        <f>-K230</f>
        <v>-806</v>
      </c>
      <c r="L237" s="19">
        <f t="shared" ref="L237" si="95">-L230</f>
        <v>-806</v>
      </c>
      <c r="T237" s="1"/>
    </row>
    <row r="238" spans="2:20" s="1" customFormat="1" x14ac:dyDescent="0.2">
      <c r="B238" s="39" t="s">
        <v>177</v>
      </c>
      <c r="C238" s="39"/>
      <c r="D238" s="39"/>
      <c r="E238" s="39"/>
      <c r="F238" s="39"/>
      <c r="G238" s="39">
        <f>+G117</f>
        <v>45697</v>
      </c>
      <c r="H238" s="39">
        <f ca="1">SUM(H233:H237)</f>
        <v>46189.584266455196</v>
      </c>
      <c r="I238" s="39">
        <f ca="1">SUM(I233:I237)</f>
        <v>47205.942708313647</v>
      </c>
      <c r="J238" s="39">
        <f ca="1">SUM(J233:J237)</f>
        <v>48856.45883081996</v>
      </c>
      <c r="K238" s="39">
        <f ca="1">SUM(K233:K237)</f>
        <v>51115.953909666176</v>
      </c>
      <c r="L238" s="39">
        <f ca="1">SUM(L233:L237)</f>
        <v>54276.417630577082</v>
      </c>
      <c r="M238" s="40"/>
      <c r="T238" s="2"/>
    </row>
    <row r="239" spans="2:20" x14ac:dyDescent="0.2"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2:20" x14ac:dyDescent="0.2"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22" ht="14.25" x14ac:dyDescent="0.2">
      <c r="A241" s="142" t="s">
        <v>144</v>
      </c>
      <c r="B241" s="141" t="s">
        <v>208</v>
      </c>
      <c r="C241" s="141"/>
      <c r="D241" s="141"/>
      <c r="E241" s="141"/>
      <c r="F241" s="141"/>
      <c r="G241" s="141">
        <f>+$F$17</f>
        <v>2023</v>
      </c>
      <c r="H241" s="141">
        <f>+G241+1</f>
        <v>2024</v>
      </c>
      <c r="I241" s="141">
        <f>+H241+1</f>
        <v>2025</v>
      </c>
      <c r="J241" s="141">
        <f>+I241+1</f>
        <v>2026</v>
      </c>
      <c r="K241" s="141">
        <f>+J241+1</f>
        <v>2027</v>
      </c>
      <c r="L241" s="141">
        <f>+K241+1</f>
        <v>2028</v>
      </c>
      <c r="P241" s="143" t="s">
        <v>209</v>
      </c>
      <c r="Q241" s="143"/>
      <c r="R241" s="143"/>
      <c r="S241" s="143"/>
      <c r="T241" s="143"/>
    </row>
    <row r="242" spans="1:22" x14ac:dyDescent="0.2">
      <c r="B242" s="19" t="s">
        <v>120</v>
      </c>
      <c r="C242" s="19"/>
      <c r="D242" s="19"/>
      <c r="E242" s="19"/>
      <c r="F242" s="19"/>
      <c r="G242" s="19"/>
      <c r="H242" s="19">
        <f>+H58</f>
        <v>7531.9999999999982</v>
      </c>
      <c r="I242" s="19">
        <f>+I58</f>
        <v>8529.92</v>
      </c>
      <c r="J242" s="19">
        <f>+J58</f>
        <v>9658.880000000001</v>
      </c>
      <c r="K242" s="19">
        <f>+K58</f>
        <v>10935.959552000004</v>
      </c>
      <c r="L242" s="19">
        <f>+L58</f>
        <v>12380.450324480003</v>
      </c>
      <c r="P242" s="144" t="s">
        <v>75</v>
      </c>
      <c r="Q242" s="144"/>
      <c r="R242" s="144"/>
      <c r="S242" s="144"/>
      <c r="T242" s="144"/>
      <c r="U242" s="11"/>
      <c r="V242" s="11"/>
    </row>
    <row r="243" spans="1:22" x14ac:dyDescent="0.2">
      <c r="B243" s="19" t="s">
        <v>75</v>
      </c>
      <c r="C243" s="19"/>
      <c r="D243" s="19"/>
      <c r="E243" s="19"/>
      <c r="F243" s="19"/>
      <c r="G243" s="19"/>
      <c r="H243" s="11">
        <f>+$E$18</f>
        <v>12</v>
      </c>
      <c r="I243" s="11">
        <f t="shared" ref="I243:L243" si="96">+$E$18</f>
        <v>12</v>
      </c>
      <c r="J243" s="11">
        <f t="shared" si="96"/>
        <v>12</v>
      </c>
      <c r="K243" s="11">
        <f t="shared" si="96"/>
        <v>12</v>
      </c>
      <c r="L243" s="11">
        <f t="shared" si="96"/>
        <v>12</v>
      </c>
      <c r="O243" s="65">
        <f ca="1">+$L$301</f>
        <v>16.786182486439035</v>
      </c>
      <c r="P243" s="124">
        <f t="shared" ref="P243:Q243" si="97">+Q243-0.5</f>
        <v>11</v>
      </c>
      <c r="Q243" s="124">
        <f t="shared" si="97"/>
        <v>11.5</v>
      </c>
      <c r="R243" s="124">
        <v>12</v>
      </c>
      <c r="S243" s="124">
        <f>+R243+0.5</f>
        <v>12.5</v>
      </c>
      <c r="T243" s="124">
        <f>+S243+0.5</f>
        <v>13</v>
      </c>
    </row>
    <row r="244" spans="1:22" x14ac:dyDescent="0.2">
      <c r="B244" s="19" t="s">
        <v>78</v>
      </c>
      <c r="C244" s="19"/>
      <c r="D244" s="19"/>
      <c r="E244" s="19"/>
      <c r="F244" s="19"/>
      <c r="G244" s="19"/>
      <c r="H244" s="19">
        <f>+H242*H243</f>
        <v>90383.999999999971</v>
      </c>
      <c r="I244" s="19">
        <f t="shared" ref="I244:L244" si="98">+I242*I243</f>
        <v>102359.04000000001</v>
      </c>
      <c r="J244" s="19">
        <f t="shared" si="98"/>
        <v>115906.56000000001</v>
      </c>
      <c r="K244" s="19">
        <f t="shared" si="98"/>
        <v>131231.51462400006</v>
      </c>
      <c r="L244" s="19">
        <f t="shared" si="98"/>
        <v>148565.40389376006</v>
      </c>
      <c r="O244" s="66">
        <f>+O245-0.5</f>
        <v>6</v>
      </c>
      <c r="P244" s="67">
        <v>19.948677304725599</v>
      </c>
      <c r="Q244" s="67">
        <v>19.948677304725599</v>
      </c>
      <c r="R244" s="67">
        <v>19.948677304725599</v>
      </c>
      <c r="S244" s="67">
        <v>19.948677304725599</v>
      </c>
      <c r="T244" s="67">
        <v>19.948677304725599</v>
      </c>
    </row>
    <row r="245" spans="1:22" x14ac:dyDescent="0.2">
      <c r="B245" s="19" t="s">
        <v>79</v>
      </c>
      <c r="C245" s="19"/>
      <c r="D245" s="19"/>
      <c r="E245" s="19"/>
      <c r="F245" s="19"/>
      <c r="G245" s="19"/>
      <c r="H245" s="19">
        <f ca="1">-H204</f>
        <v>-46817.19111816019</v>
      </c>
      <c r="I245" s="19">
        <f t="shared" ref="I245:L245" ca="1" si="99">-I204</f>
        <v>-46799.594153224818</v>
      </c>
      <c r="J245" s="19">
        <f t="shared" ca="1" si="99"/>
        <v>-46079.515096564661</v>
      </c>
      <c r="K245" s="19">
        <f t="shared" ca="1" si="99"/>
        <v>-44673.946248561515</v>
      </c>
      <c r="L245" s="19">
        <f t="shared" ca="1" si="99"/>
        <v>-42281.730629341691</v>
      </c>
      <c r="N245" s="1"/>
      <c r="O245" s="66">
        <f>+O246-0.5</f>
        <v>6.5</v>
      </c>
      <c r="P245" s="67">
        <v>19.948677304725599</v>
      </c>
      <c r="Q245" s="68">
        <v>19.948677304725599</v>
      </c>
      <c r="R245" s="69">
        <v>19.948677304725599</v>
      </c>
      <c r="S245" s="70">
        <v>19.948677304725599</v>
      </c>
      <c r="T245" s="67">
        <v>19.948677304725599</v>
      </c>
    </row>
    <row r="246" spans="1:22" ht="13.5" thickBot="1" x14ac:dyDescent="0.25">
      <c r="B246" s="19" t="s">
        <v>90</v>
      </c>
      <c r="C246" s="19"/>
      <c r="D246" s="19"/>
      <c r="E246" s="19"/>
      <c r="F246" s="19"/>
      <c r="G246" s="19"/>
      <c r="H246" s="19">
        <f ca="1">+H244+H245</f>
        <v>43566.808881839781</v>
      </c>
      <c r="I246" s="19">
        <f t="shared" ref="I246:L246" ca="1" si="100">+I244+I245</f>
        <v>55559.44584677519</v>
      </c>
      <c r="J246" s="19">
        <f t="shared" ca="1" si="100"/>
        <v>69827.044903435351</v>
      </c>
      <c r="K246" s="19">
        <f t="shared" ca="1" si="100"/>
        <v>86557.568375438539</v>
      </c>
      <c r="L246" s="19">
        <f t="shared" ca="1" si="100"/>
        <v>106283.67326441836</v>
      </c>
      <c r="N246" s="40" t="s">
        <v>52</v>
      </c>
      <c r="O246" s="71">
        <v>7</v>
      </c>
      <c r="P246" s="67">
        <v>19.948677304725599</v>
      </c>
      <c r="Q246" s="72">
        <v>19.948677304725599</v>
      </c>
      <c r="R246" s="67">
        <v>19.948677304725599</v>
      </c>
      <c r="S246" s="73">
        <v>19.948677304725599</v>
      </c>
      <c r="T246" s="67">
        <v>19.948677304725599</v>
      </c>
    </row>
    <row r="247" spans="1:22" ht="13.5" thickBot="1" x14ac:dyDescent="0.25">
      <c r="B247" s="19" t="s">
        <v>80</v>
      </c>
      <c r="C247" s="19"/>
      <c r="D247" s="74">
        <f>+F21</f>
        <v>0.1</v>
      </c>
      <c r="E247" s="19"/>
      <c r="F247" s="19"/>
      <c r="G247" s="19"/>
      <c r="H247" s="19">
        <f ca="1">+(H246-H249)*$D$247</f>
        <v>-213.0191118160219</v>
      </c>
      <c r="I247" s="19">
        <f ca="1">+(I246-I249)*$D$247</f>
        <v>986.24458467751901</v>
      </c>
      <c r="J247" s="19">
        <f ca="1">+(J246-J249)*$D$247</f>
        <v>2413.0044903435351</v>
      </c>
      <c r="K247" s="19">
        <f ca="1">+(K246-K249)*$D$247</f>
        <v>4086.0568375438543</v>
      </c>
      <c r="L247" s="19">
        <f ca="1">+(L246-L249)*$D$247</f>
        <v>6058.6673264418368</v>
      </c>
      <c r="O247" s="66">
        <f>+O246+0.5</f>
        <v>7.5</v>
      </c>
      <c r="P247" s="67">
        <v>19.948677304725599</v>
      </c>
      <c r="Q247" s="75">
        <v>19.948677304725599</v>
      </c>
      <c r="R247" s="76">
        <v>19.948677304725599</v>
      </c>
      <c r="S247" s="77">
        <v>19.948677304725599</v>
      </c>
      <c r="T247" s="67">
        <v>19.948677304725599</v>
      </c>
    </row>
    <row r="248" spans="1:22" s="1" customFormat="1" x14ac:dyDescent="0.2">
      <c r="B248" s="39" t="s">
        <v>82</v>
      </c>
      <c r="C248" s="39"/>
      <c r="D248" s="39"/>
      <c r="E248" s="39"/>
      <c r="F248" s="39"/>
      <c r="G248" s="39"/>
      <c r="H248" s="39">
        <f ca="1">+H246-H247</f>
        <v>43779.827993655803</v>
      </c>
      <c r="I248" s="39">
        <f t="shared" ref="I248" ca="1" si="101">+I246-I247</f>
        <v>54573.201262097675</v>
      </c>
      <c r="J248" s="39">
        <f ca="1">+J246-J247</f>
        <v>67414.040413091818</v>
      </c>
      <c r="K248" s="39">
        <f ca="1">+K246-K247</f>
        <v>82471.511537894679</v>
      </c>
      <c r="L248" s="39">
        <f ca="1">+L246-L247</f>
        <v>100225.00593797653</v>
      </c>
      <c r="M248" s="40"/>
      <c r="O248" s="66">
        <f>+O247+0.5</f>
        <v>8</v>
      </c>
      <c r="P248" s="67">
        <v>19.948677304725599</v>
      </c>
      <c r="Q248" s="67">
        <v>19.948677304725599</v>
      </c>
      <c r="R248" s="67">
        <v>19.948677304725599</v>
      </c>
      <c r="S248" s="67">
        <v>19.948677304725599</v>
      </c>
      <c r="T248" s="67">
        <v>19.948677304725599</v>
      </c>
    </row>
    <row r="249" spans="1:22" x14ac:dyDescent="0.2">
      <c r="B249" s="19" t="s">
        <v>84</v>
      </c>
      <c r="C249" s="19"/>
      <c r="D249" s="19"/>
      <c r="E249" s="19"/>
      <c r="F249" s="19"/>
      <c r="G249" s="19"/>
      <c r="H249" s="19">
        <f>+$D$38</f>
        <v>45697</v>
      </c>
      <c r="I249" s="19">
        <f>+$D$38</f>
        <v>45697</v>
      </c>
      <c r="J249" s="19">
        <f>+$D$38</f>
        <v>45697</v>
      </c>
      <c r="K249" s="19">
        <f>+$D$38</f>
        <v>45697</v>
      </c>
      <c r="L249" s="19">
        <f>+$D$38</f>
        <v>45697</v>
      </c>
      <c r="O249" s="11"/>
    </row>
    <row r="250" spans="1:22" x14ac:dyDescent="0.2"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22" x14ac:dyDescent="0.2">
      <c r="B251" s="19" t="s">
        <v>210</v>
      </c>
      <c r="C251" s="19"/>
      <c r="D251" s="19"/>
      <c r="E251" s="19"/>
      <c r="F251" s="19"/>
      <c r="G251" s="19"/>
      <c r="H251" s="19">
        <f>-H249</f>
        <v>-45697</v>
      </c>
      <c r="I251" s="19">
        <f t="shared" ref="I251:L251" si="102">-I249</f>
        <v>-45697</v>
      </c>
      <c r="J251" s="19">
        <f t="shared" si="102"/>
        <v>-45697</v>
      </c>
      <c r="K251" s="19">
        <f t="shared" si="102"/>
        <v>-45697</v>
      </c>
      <c r="L251" s="19">
        <f t="shared" si="102"/>
        <v>-45697</v>
      </c>
    </row>
    <row r="252" spans="1:22" x14ac:dyDescent="0.2">
      <c r="B252" s="78">
        <v>2024</v>
      </c>
      <c r="C252" s="19"/>
      <c r="D252" s="19"/>
      <c r="E252" s="19"/>
      <c r="F252" s="19"/>
      <c r="G252" s="19"/>
      <c r="H252" s="19">
        <f ca="1">+H$228+H$248</f>
        <v>44579.827993655803</v>
      </c>
      <c r="I252" s="19">
        <f>+$I$228</f>
        <v>800</v>
      </c>
      <c r="J252" s="19">
        <f t="shared" ref="J252:L253" si="103">+$I$228</f>
        <v>800</v>
      </c>
      <c r="K252" s="19">
        <f>+$I$228</f>
        <v>800</v>
      </c>
      <c r="L252" s="19">
        <f t="shared" si="103"/>
        <v>800</v>
      </c>
    </row>
    <row r="253" spans="1:22" x14ac:dyDescent="0.2">
      <c r="B253" s="79">
        <f>+B252+1</f>
        <v>2025</v>
      </c>
      <c r="C253" s="19"/>
      <c r="D253" s="19"/>
      <c r="E253" s="19"/>
      <c r="F253" s="19"/>
      <c r="G253" s="19"/>
      <c r="H253" s="19"/>
      <c r="I253" s="19">
        <f ca="1">+I$228+I$248</f>
        <v>55373.201262097675</v>
      </c>
      <c r="J253" s="19">
        <f>+$I$228</f>
        <v>800</v>
      </c>
      <c r="K253" s="19">
        <f t="shared" ref="K253" si="104">+$I$228</f>
        <v>800</v>
      </c>
      <c r="L253" s="19">
        <f t="shared" si="103"/>
        <v>800</v>
      </c>
    </row>
    <row r="254" spans="1:22" x14ac:dyDescent="0.2">
      <c r="B254" s="79">
        <f>+B253+1</f>
        <v>2026</v>
      </c>
      <c r="C254" s="19"/>
      <c r="D254" s="19"/>
      <c r="E254" s="19"/>
      <c r="F254" s="19"/>
      <c r="G254" s="19"/>
      <c r="H254" s="19"/>
      <c r="I254" s="19"/>
      <c r="J254" s="19">
        <f ca="1">+J$228+J$248</f>
        <v>68214.040413091818</v>
      </c>
      <c r="K254" s="19">
        <f>+$J$228</f>
        <v>800</v>
      </c>
      <c r="L254" s="19">
        <f>+$J$228</f>
        <v>800</v>
      </c>
    </row>
    <row r="255" spans="1:22" x14ac:dyDescent="0.2">
      <c r="B255" s="79">
        <f t="shared" ref="B255:B256" si="105">+B254+1</f>
        <v>2027</v>
      </c>
      <c r="C255" s="19"/>
      <c r="D255" s="19"/>
      <c r="E255" s="19"/>
      <c r="F255" s="19"/>
      <c r="G255" s="19"/>
      <c r="H255" s="19"/>
      <c r="I255" s="19"/>
      <c r="J255" s="19"/>
      <c r="K255" s="19">
        <f ca="1">+K$228+K$248</f>
        <v>83271.511537894679</v>
      </c>
      <c r="L255" s="19">
        <f>+$K$228</f>
        <v>800</v>
      </c>
    </row>
    <row r="256" spans="1:22" x14ac:dyDescent="0.2">
      <c r="B256" s="79">
        <f t="shared" si="105"/>
        <v>2028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>
        <f ca="1">+L$228+L$248</f>
        <v>101025.00593797653</v>
      </c>
    </row>
    <row r="257" spans="1:20" ht="13.5" thickBot="1" x14ac:dyDescent="0.25"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20" x14ac:dyDescent="0.2">
      <c r="B258" s="80" t="s">
        <v>88</v>
      </c>
      <c r="C258" s="81"/>
      <c r="D258" s="81"/>
      <c r="E258" s="81"/>
      <c r="F258" s="81"/>
      <c r="G258" s="81"/>
      <c r="H258" s="125">
        <f ca="1">IRR(H251:H256)</f>
        <v>-2.4447381805024371E-2</v>
      </c>
      <c r="I258" s="125">
        <f t="shared" ref="I258:L258" ca="1" si="106">IRR(I251:I256)</f>
        <v>0.10958190225395392</v>
      </c>
      <c r="J258" s="125">
        <f t="shared" ca="1" si="106"/>
        <v>0.15386354269472813</v>
      </c>
      <c r="K258" s="125">
        <f t="shared" ca="1" si="106"/>
        <v>0.17330832498052295</v>
      </c>
      <c r="L258" s="88">
        <f t="shared" ca="1" si="106"/>
        <v>0.18323593001450522</v>
      </c>
    </row>
    <row r="259" spans="1:20" ht="13.5" thickBot="1" x14ac:dyDescent="0.25">
      <c r="B259" s="126" t="s">
        <v>86</v>
      </c>
      <c r="C259" s="127"/>
      <c r="D259" s="127"/>
      <c r="E259" s="127"/>
      <c r="F259" s="127"/>
      <c r="G259" s="127"/>
      <c r="H259" s="128">
        <f ca="1">+H252/-H251</f>
        <v>0.97555261819497563</v>
      </c>
      <c r="I259" s="128">
        <f ca="1">+I253/-I251</f>
        <v>1.2117469694312029</v>
      </c>
      <c r="J259" s="128">
        <f ca="1">+J254/-J251</f>
        <v>1.492746578836506</v>
      </c>
      <c r="K259" s="128">
        <f ca="1">+K255/-K251</f>
        <v>1.8222533544410942</v>
      </c>
      <c r="L259" s="91">
        <f ca="1">+L256/-L251</f>
        <v>2.2107579477422266</v>
      </c>
    </row>
    <row r="260" spans="1:20" x14ac:dyDescent="0.2"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20" x14ac:dyDescent="0.2"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20" ht="14.25" x14ac:dyDescent="0.2">
      <c r="A262" s="142" t="s">
        <v>144</v>
      </c>
      <c r="B262" s="141" t="s">
        <v>211</v>
      </c>
      <c r="C262" s="141"/>
      <c r="D262" s="141"/>
      <c r="E262" s="141"/>
      <c r="F262" s="141"/>
      <c r="G262" s="141">
        <f>+$F$17</f>
        <v>2023</v>
      </c>
      <c r="H262" s="141">
        <f>+G262+1</f>
        <v>2024</v>
      </c>
      <c r="I262" s="141">
        <f>+H262+1</f>
        <v>2025</v>
      </c>
      <c r="J262" s="141">
        <f>+I262+1</f>
        <v>2026</v>
      </c>
      <c r="K262" s="141">
        <f>+J262+1</f>
        <v>2027</v>
      </c>
      <c r="L262" s="141">
        <f>+K262+1</f>
        <v>2028</v>
      </c>
      <c r="P262" s="143" t="s">
        <v>212</v>
      </c>
      <c r="Q262" s="143"/>
      <c r="R262" s="143"/>
      <c r="S262" s="143"/>
      <c r="T262" s="143"/>
    </row>
    <row r="263" spans="1:20" x14ac:dyDescent="0.2">
      <c r="B263" s="19" t="s">
        <v>121</v>
      </c>
      <c r="C263" s="19"/>
      <c r="D263" s="19"/>
      <c r="E263" s="19"/>
      <c r="F263" s="19"/>
      <c r="G263" s="19"/>
      <c r="H263" s="19">
        <f>+H67</f>
        <v>6681.9999999999982</v>
      </c>
      <c r="I263" s="19">
        <f t="shared" ref="I263:L263" si="107">+I67</f>
        <v>7579.12</v>
      </c>
      <c r="J263" s="19">
        <f t="shared" si="107"/>
        <v>8595.1840000000011</v>
      </c>
      <c r="K263" s="19">
        <f t="shared" si="107"/>
        <v>9745.8200320000033</v>
      </c>
      <c r="L263" s="19">
        <f t="shared" si="107"/>
        <v>11048.694062080003</v>
      </c>
      <c r="P263" s="144" t="s">
        <v>213</v>
      </c>
      <c r="Q263" s="144"/>
      <c r="R263" s="144"/>
      <c r="S263" s="144"/>
      <c r="T263" s="144"/>
    </row>
    <row r="264" spans="1:20" x14ac:dyDescent="0.2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O264" s="65">
        <f>+$L$280</f>
        <v>21.975910792072014</v>
      </c>
      <c r="P264" s="123">
        <f>+Q264-0.005</f>
        <v>0.10999999999999999</v>
      </c>
      <c r="Q264" s="123">
        <f>+R264-0.005</f>
        <v>0.11499999999999999</v>
      </c>
      <c r="R264" s="123">
        <v>0.12</v>
      </c>
      <c r="S264" s="123">
        <f>+R264+0.005</f>
        <v>0.125</v>
      </c>
      <c r="T264" s="123">
        <f>+S264+0.005</f>
        <v>0.13</v>
      </c>
    </row>
    <row r="265" spans="1:20" x14ac:dyDescent="0.2">
      <c r="B265" s="19" t="s">
        <v>120</v>
      </c>
      <c r="C265" s="19"/>
      <c r="D265" s="19"/>
      <c r="E265" s="19"/>
      <c r="F265" s="19"/>
      <c r="G265" s="19"/>
      <c r="H265" s="19">
        <f>+H58</f>
        <v>7531.9999999999982</v>
      </c>
      <c r="I265" s="19">
        <f t="shared" ref="I265:K265" si="108">+I58</f>
        <v>8529.92</v>
      </c>
      <c r="J265" s="19">
        <f t="shared" si="108"/>
        <v>9658.880000000001</v>
      </c>
      <c r="K265" s="19">
        <f t="shared" si="108"/>
        <v>10935.959552000004</v>
      </c>
      <c r="L265" s="19">
        <f>+L58</f>
        <v>12380.450324480003</v>
      </c>
      <c r="O265" s="66">
        <f>+O266-0.5</f>
        <v>11</v>
      </c>
      <c r="P265" s="67">
        <f t="dataTable" ref="P265:T269" dt2D="1" dtr="1" r1="L271" r2="L272"/>
        <v>21.208154635549235</v>
      </c>
      <c r="Q265" s="67">
        <v>20.707400485338145</v>
      </c>
      <c r="R265" s="67">
        <v>20.219660792072009</v>
      </c>
      <c r="S265" s="67">
        <v>19.744538663189473</v>
      </c>
      <c r="T265" s="67">
        <v>19.281651036964867</v>
      </c>
    </row>
    <row r="266" spans="1:20" x14ac:dyDescent="0.2">
      <c r="B266" s="19" t="s">
        <v>214</v>
      </c>
      <c r="C266" s="19"/>
      <c r="D266" s="19"/>
      <c r="E266" s="19"/>
      <c r="F266" s="19"/>
      <c r="G266" s="19"/>
      <c r="H266" s="19">
        <f>+H145</f>
        <v>-1750</v>
      </c>
      <c r="I266" s="19">
        <f t="shared" ref="I266:K266" si="109">+I145</f>
        <v>-1750</v>
      </c>
      <c r="J266" s="19">
        <f t="shared" si="109"/>
        <v>-1750</v>
      </c>
      <c r="K266" s="19">
        <f t="shared" si="109"/>
        <v>-1750</v>
      </c>
      <c r="L266" s="19">
        <f>+L145</f>
        <v>-1750</v>
      </c>
      <c r="N266" s="1"/>
      <c r="O266" s="66">
        <f>+O267-0.5</f>
        <v>11.5</v>
      </c>
      <c r="P266" s="67">
        <v>22.126553971427445</v>
      </c>
      <c r="Q266" s="68">
        <v>21.605391762383192</v>
      </c>
      <c r="R266" s="69">
        <v>21.09778579207201</v>
      </c>
      <c r="S266" s="70">
        <v>20.603322461883273</v>
      </c>
      <c r="T266" s="67">
        <v>20.121602590184754</v>
      </c>
    </row>
    <row r="267" spans="1:20" x14ac:dyDescent="0.2">
      <c r="B267" s="19" t="s">
        <v>159</v>
      </c>
      <c r="C267" s="19"/>
      <c r="D267" s="19"/>
      <c r="E267" s="19"/>
      <c r="F267" s="19"/>
      <c r="G267" s="19"/>
      <c r="H267" s="19">
        <f>+H134</f>
        <v>-330.77538461538506</v>
      </c>
      <c r="I267" s="19">
        <f t="shared" ref="I267:K267" si="110">+I134</f>
        <v>-370.5614769230765</v>
      </c>
      <c r="J267" s="19">
        <f t="shared" si="110"/>
        <v>-415.13306584615566</v>
      </c>
      <c r="K267" s="19">
        <f t="shared" si="110"/>
        <v>-465.06575084307678</v>
      </c>
      <c r="L267" s="19">
        <f>+L134</f>
        <v>-521.00436409107715</v>
      </c>
      <c r="N267" s="40" t="s">
        <v>215</v>
      </c>
      <c r="O267" s="71">
        <v>12</v>
      </c>
      <c r="P267" s="67">
        <v>23.044953307305654</v>
      </c>
      <c r="Q267" s="72">
        <v>22.503383039428233</v>
      </c>
      <c r="R267" s="67">
        <v>21.975910792072014</v>
      </c>
      <c r="S267" s="73">
        <v>21.46210626057707</v>
      </c>
      <c r="T267" s="67">
        <v>20.961554143404648</v>
      </c>
    </row>
    <row r="268" spans="1:20" x14ac:dyDescent="0.2">
      <c r="B268" s="19" t="s">
        <v>216</v>
      </c>
      <c r="C268" s="19"/>
      <c r="D268" s="19"/>
      <c r="E268" s="19"/>
      <c r="F268" s="19"/>
      <c r="G268" s="19"/>
      <c r="H268" s="19">
        <f>-H263*tax</f>
        <v>-2672.7999999999993</v>
      </c>
      <c r="I268" s="19">
        <f>-I263*tax</f>
        <v>-3031.6480000000001</v>
      </c>
      <c r="J268" s="19">
        <f>-J263*tax</f>
        <v>-3438.0736000000006</v>
      </c>
      <c r="K268" s="19">
        <f>-K263*tax</f>
        <v>-3898.3280128000015</v>
      </c>
      <c r="L268" s="19">
        <f>-L263*tax</f>
        <v>-4419.4776248320013</v>
      </c>
      <c r="O268" s="66">
        <f>+O267+0.5</f>
        <v>12.5</v>
      </c>
      <c r="P268" s="67">
        <v>23.96335264318386</v>
      </c>
      <c r="Q268" s="75">
        <v>23.401374316473273</v>
      </c>
      <c r="R268" s="76">
        <v>22.854035792072008</v>
      </c>
      <c r="S268" s="77">
        <v>22.320890059270862</v>
      </c>
      <c r="T268" s="67">
        <v>21.801505696624531</v>
      </c>
    </row>
    <row r="269" spans="1:20" s="1" customFormat="1" x14ac:dyDescent="0.2">
      <c r="B269" s="39" t="s">
        <v>217</v>
      </c>
      <c r="C269" s="39"/>
      <c r="D269" s="39"/>
      <c r="E269" s="39"/>
      <c r="F269" s="39"/>
      <c r="G269" s="39"/>
      <c r="H269" s="39">
        <f>SUM(H265:H268)</f>
        <v>2778.4246153846143</v>
      </c>
      <c r="I269" s="39">
        <f t="shared" ref="I269:K269" si="111">SUM(I265:I268)</f>
        <v>3377.7105230769239</v>
      </c>
      <c r="J269" s="39">
        <f t="shared" si="111"/>
        <v>4055.6733341538447</v>
      </c>
      <c r="K269" s="39">
        <f t="shared" si="111"/>
        <v>4822.5657883569247</v>
      </c>
      <c r="L269" s="39">
        <f>SUM(L265:L268)</f>
        <v>5689.968335556925</v>
      </c>
      <c r="M269" s="40"/>
      <c r="O269" s="66">
        <f>+O268+0.5</f>
        <v>13</v>
      </c>
      <c r="P269" s="67">
        <v>24.88175197906207</v>
      </c>
      <c r="Q269" s="67">
        <v>24.299365593518317</v>
      </c>
      <c r="R269" s="67">
        <v>23.732160792072008</v>
      </c>
      <c r="S269" s="67">
        <v>23.179673857964662</v>
      </c>
      <c r="T269" s="67">
        <v>22.641457249844425</v>
      </c>
    </row>
    <row r="270" spans="1:20" x14ac:dyDescent="0.2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20" x14ac:dyDescent="0.2">
      <c r="B271" s="19" t="s">
        <v>213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3">
        <v>0.12</v>
      </c>
    </row>
    <row r="272" spans="1:20" x14ac:dyDescent="0.2">
      <c r="B272" s="19" t="s">
        <v>218</v>
      </c>
      <c r="C272" s="19"/>
      <c r="D272" s="19"/>
      <c r="E272" s="19"/>
      <c r="F272" s="19"/>
      <c r="G272" s="19"/>
      <c r="H272" s="19"/>
      <c r="I272" s="19"/>
      <c r="J272" s="19"/>
      <c r="K272" s="19"/>
      <c r="L272" s="14">
        <v>12</v>
      </c>
    </row>
    <row r="273" spans="1:20" x14ac:dyDescent="0.2">
      <c r="B273" s="19" t="s">
        <v>219</v>
      </c>
      <c r="C273" s="19"/>
      <c r="D273" s="19"/>
      <c r="E273" s="19"/>
      <c r="F273" s="19"/>
      <c r="G273" s="19"/>
      <c r="H273" s="19"/>
      <c r="I273" s="19"/>
      <c r="J273" s="19"/>
      <c r="K273" s="19"/>
      <c r="L273" s="19">
        <f>+L265*L272</f>
        <v>148565.40389376006</v>
      </c>
    </row>
    <row r="274" spans="1:20" x14ac:dyDescent="0.2">
      <c r="B274" s="19" t="s">
        <v>220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>
        <f>+L273/(1+L271)^(L262-G262)</f>
        <v>84300.000000000015</v>
      </c>
    </row>
    <row r="275" spans="1:20" x14ac:dyDescent="0.2">
      <c r="B275" s="19" t="s">
        <v>221</v>
      </c>
      <c r="C275" s="19"/>
      <c r="D275" s="19"/>
      <c r="E275" s="19"/>
      <c r="F275" s="19"/>
      <c r="G275" s="19"/>
      <c r="H275" s="19"/>
      <c r="I275" s="19"/>
      <c r="J275" s="19"/>
      <c r="L275" s="19">
        <f>+NPV(L271,H269:L269)</f>
        <v>14353.643168288036</v>
      </c>
      <c r="T275" s="1"/>
    </row>
    <row r="276" spans="1:20" s="1" customFormat="1" x14ac:dyDescent="0.2">
      <c r="B276" s="39" t="s">
        <v>222</v>
      </c>
      <c r="C276" s="39"/>
      <c r="D276" s="39"/>
      <c r="E276" s="39"/>
      <c r="F276" s="39"/>
      <c r="G276" s="39"/>
      <c r="H276" s="39"/>
      <c r="I276" s="39"/>
      <c r="J276" s="39"/>
      <c r="K276" s="39"/>
      <c r="L276" s="39">
        <f>+L274+L275</f>
        <v>98653.64316828805</v>
      </c>
      <c r="M276" s="40"/>
      <c r="T276" s="2"/>
    </row>
    <row r="277" spans="1:20" x14ac:dyDescent="0.2">
      <c r="B277" s="19" t="s">
        <v>79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>
        <f>-(E107+E108-E85)</f>
        <v>-10750</v>
      </c>
      <c r="T277" s="1"/>
    </row>
    <row r="278" spans="1:20" s="1" customFormat="1" x14ac:dyDescent="0.2">
      <c r="B278" s="39" t="s">
        <v>90</v>
      </c>
      <c r="C278" s="39"/>
      <c r="D278" s="39"/>
      <c r="E278" s="39"/>
      <c r="F278" s="39"/>
      <c r="G278" s="39"/>
      <c r="H278" s="39"/>
      <c r="I278" s="39"/>
      <c r="J278" s="39"/>
      <c r="K278" s="39"/>
      <c r="L278" s="39">
        <f>+L276+L277</f>
        <v>87903.64316828805</v>
      </c>
      <c r="M278" s="40"/>
      <c r="T278" s="2"/>
    </row>
    <row r="279" spans="1:20" ht="13.5" thickBot="1" x14ac:dyDescent="0.25">
      <c r="B279" s="19" t="s">
        <v>87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>
        <f>+F24</f>
        <v>4000</v>
      </c>
      <c r="T279" s="1"/>
    </row>
    <row r="280" spans="1:20" s="1" customFormat="1" x14ac:dyDescent="0.2">
      <c r="B280" s="80" t="s">
        <v>98</v>
      </c>
      <c r="C280" s="81"/>
      <c r="D280" s="81"/>
      <c r="E280" s="81"/>
      <c r="F280" s="81"/>
      <c r="G280" s="81"/>
      <c r="H280" s="81"/>
      <c r="I280" s="81"/>
      <c r="J280" s="81"/>
      <c r="K280" s="81"/>
      <c r="L280" s="121">
        <f>+L278/L279</f>
        <v>21.975910792072014</v>
      </c>
      <c r="M280" s="40"/>
      <c r="T280" s="2"/>
    </row>
    <row r="281" spans="1:20" x14ac:dyDescent="0.2">
      <c r="B281" s="82" t="s">
        <v>103</v>
      </c>
      <c r="C281" s="19"/>
      <c r="D281" s="19"/>
      <c r="E281" s="19"/>
      <c r="F281" s="19"/>
      <c r="G281" s="19"/>
      <c r="H281" s="19"/>
      <c r="I281" s="19"/>
      <c r="J281" s="19"/>
      <c r="K281" s="19"/>
      <c r="L281" s="122">
        <f>+F27</f>
        <v>15</v>
      </c>
      <c r="T281" s="5"/>
    </row>
    <row r="282" spans="1:20" s="5" customFormat="1" ht="15" thickBot="1" x14ac:dyDescent="0.25">
      <c r="A282" s="142" t="s">
        <v>144</v>
      </c>
      <c r="B282" s="83" t="s">
        <v>105</v>
      </c>
      <c r="C282" s="84"/>
      <c r="D282" s="84"/>
      <c r="E282" s="84"/>
      <c r="F282" s="84"/>
      <c r="G282" s="84"/>
      <c r="H282" s="84"/>
      <c r="I282" s="84"/>
      <c r="J282" s="84"/>
      <c r="K282" s="84"/>
      <c r="L282" s="85">
        <f>+L280/L281-1</f>
        <v>0.46506071947146754</v>
      </c>
      <c r="M282" s="38" t="s">
        <v>64</v>
      </c>
      <c r="T282" s="2"/>
    </row>
    <row r="283" spans="1:20" x14ac:dyDescent="0.2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20" x14ac:dyDescent="0.2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6" spans="1:20" ht="14.25" x14ac:dyDescent="0.2">
      <c r="A286" s="142" t="s">
        <v>144</v>
      </c>
      <c r="B286" s="141" t="s">
        <v>70</v>
      </c>
      <c r="C286" s="141"/>
      <c r="D286" s="141"/>
      <c r="E286" s="141"/>
      <c r="F286" s="141"/>
      <c r="H286" s="141" t="s">
        <v>71</v>
      </c>
      <c r="I286" s="141"/>
      <c r="J286" s="141"/>
      <c r="K286" s="141"/>
      <c r="L286" s="141"/>
    </row>
    <row r="287" spans="1:20" x14ac:dyDescent="0.2">
      <c r="B287" s="2" t="str">
        <f>TEXT($F$18,0)&amp;"E EBITDA"</f>
        <v>2028E EBITDA</v>
      </c>
      <c r="F287" s="19">
        <f>INDEX($G$58:$L$58,MATCH($F$18,$G$42:$L$42))</f>
        <v>12380.450324480003</v>
      </c>
      <c r="H287" s="2" t="str">
        <f t="shared" ref="H287:H293" si="112">+B287</f>
        <v>2028E EBITDA</v>
      </c>
      <c r="L287" s="19">
        <f t="shared" ref="L287:L293" si="113">+F287</f>
        <v>12380.450324480003</v>
      </c>
    </row>
    <row r="288" spans="1:20" x14ac:dyDescent="0.2">
      <c r="B288" s="2" t="s">
        <v>75</v>
      </c>
      <c r="F288" s="11">
        <f>+E18</f>
        <v>12</v>
      </c>
      <c r="H288" s="2" t="str">
        <f t="shared" si="112"/>
        <v>Exit Multiple</v>
      </c>
      <c r="L288" s="19">
        <f t="shared" si="113"/>
        <v>12</v>
      </c>
    </row>
    <row r="289" spans="2:12" x14ac:dyDescent="0.2">
      <c r="B289" s="2" t="s">
        <v>78</v>
      </c>
      <c r="F289" s="19">
        <f>+F287*F288</f>
        <v>148565.40389376006</v>
      </c>
      <c r="H289" s="2" t="str">
        <f t="shared" si="112"/>
        <v>TEV at Exit</v>
      </c>
      <c r="L289" s="19">
        <f t="shared" si="113"/>
        <v>148565.40389376006</v>
      </c>
    </row>
    <row r="290" spans="2:12" x14ac:dyDescent="0.2">
      <c r="B290" s="2" t="s">
        <v>79</v>
      </c>
      <c r="F290" s="19">
        <f ca="1">-INDEX($G$204:$L$204,MATCH($F$18,$G$164:$L$164))</f>
        <v>-42281.730629341691</v>
      </c>
      <c r="H290" s="2" t="str">
        <f t="shared" si="112"/>
        <v>Less: Net Debt</v>
      </c>
      <c r="L290" s="19">
        <f t="shared" ca="1" si="113"/>
        <v>-42281.730629341691</v>
      </c>
    </row>
    <row r="291" spans="2:12" x14ac:dyDescent="0.2">
      <c r="B291" s="2" t="s">
        <v>81</v>
      </c>
      <c r="F291" s="19">
        <f ca="1">+F289+F290</f>
        <v>106283.67326441836</v>
      </c>
      <c r="H291" s="2" t="str">
        <f t="shared" si="112"/>
        <v>Equity Value at Exit</v>
      </c>
      <c r="L291" s="19">
        <f t="shared" ca="1" si="113"/>
        <v>106283.67326441836</v>
      </c>
    </row>
    <row r="292" spans="2:12" x14ac:dyDescent="0.2">
      <c r="B292" s="2" t="s">
        <v>80</v>
      </c>
      <c r="F292" s="19">
        <f ca="1">+(F291-F294)*$F$21</f>
        <v>6058.6673264418368</v>
      </c>
      <c r="H292" s="2" t="str">
        <f t="shared" si="112"/>
        <v>Management Options</v>
      </c>
      <c r="L292" s="19">
        <f t="shared" ca="1" si="113"/>
        <v>6058.6673264418368</v>
      </c>
    </row>
    <row r="293" spans="2:12" x14ac:dyDescent="0.2">
      <c r="B293" s="2" t="s">
        <v>82</v>
      </c>
      <c r="F293" s="19">
        <f ca="1">+F291-F292</f>
        <v>100225.00593797653</v>
      </c>
      <c r="H293" s="2" t="str">
        <f t="shared" si="112"/>
        <v>Sponsor Equity at Exit</v>
      </c>
      <c r="L293" s="19">
        <f t="shared" ca="1" si="113"/>
        <v>100225.00593797653</v>
      </c>
    </row>
    <row r="294" spans="2:12" ht="13.5" thickBot="1" x14ac:dyDescent="0.25">
      <c r="B294" s="2" t="s">
        <v>84</v>
      </c>
      <c r="F294" s="19">
        <f>+D38</f>
        <v>45697</v>
      </c>
      <c r="H294" s="2" t="s">
        <v>85</v>
      </c>
      <c r="L294" s="12">
        <v>0.25</v>
      </c>
    </row>
    <row r="295" spans="2:12" x14ac:dyDescent="0.2">
      <c r="B295" s="86" t="s">
        <v>86</v>
      </c>
      <c r="C295" s="87"/>
      <c r="D295" s="87"/>
      <c r="E295" s="87"/>
      <c r="F295" s="88">
        <f ca="1">+INDEX($H$258:$L$258,MATCH($F$18,$H$241:$L$241))</f>
        <v>0.18323593001450522</v>
      </c>
      <c r="H295" s="2" t="s">
        <v>84</v>
      </c>
      <c r="L295" s="2">
        <f ca="1">+L293/(1+L294)^($F$18-$F$17)</f>
        <v>32841.729945756146</v>
      </c>
    </row>
    <row r="296" spans="2:12" ht="13.5" thickBot="1" x14ac:dyDescent="0.25">
      <c r="B296" s="89" t="s">
        <v>88</v>
      </c>
      <c r="C296" s="90"/>
      <c r="D296" s="90"/>
      <c r="E296" s="90"/>
      <c r="F296" s="91">
        <f ca="1">+INDEX($H$259:$L$259,MATCH($F$18,$H$241:$L$241))</f>
        <v>2.2107579477422266</v>
      </c>
      <c r="H296" s="2" t="s">
        <v>89</v>
      </c>
      <c r="L296" s="19">
        <f>+SUM(D33:D37)</f>
        <v>46600</v>
      </c>
    </row>
    <row r="297" spans="2:12" x14ac:dyDescent="0.2">
      <c r="H297" s="2" t="s">
        <v>91</v>
      </c>
      <c r="L297" s="19">
        <f ca="1">+L295+L296</f>
        <v>79441.729945756146</v>
      </c>
    </row>
    <row r="298" spans="2:12" x14ac:dyDescent="0.2">
      <c r="H298" s="2" t="s">
        <v>93</v>
      </c>
      <c r="L298" s="19">
        <f>-SUM(L34:L35)</f>
        <v>-12297</v>
      </c>
    </row>
    <row r="299" spans="2:12" x14ac:dyDescent="0.2">
      <c r="H299" s="2" t="s">
        <v>95</v>
      </c>
      <c r="L299" s="19">
        <f ca="1">+L297+L298</f>
        <v>67144.729945756146</v>
      </c>
    </row>
    <row r="300" spans="2:12" ht="13.5" thickBot="1" x14ac:dyDescent="0.25">
      <c r="H300" s="2" t="s">
        <v>87</v>
      </c>
      <c r="L300" s="19">
        <f>+F24</f>
        <v>4000</v>
      </c>
    </row>
    <row r="301" spans="2:12" x14ac:dyDescent="0.2">
      <c r="H301" s="86" t="s">
        <v>98</v>
      </c>
      <c r="I301" s="87"/>
      <c r="J301" s="87"/>
      <c r="K301" s="87"/>
      <c r="L301" s="92">
        <f ca="1">+L299/L300</f>
        <v>16.786182486439035</v>
      </c>
    </row>
    <row r="302" spans="2:12" x14ac:dyDescent="0.2">
      <c r="H302" s="93" t="s">
        <v>103</v>
      </c>
      <c r="I302" s="1"/>
      <c r="J302" s="1"/>
      <c r="K302" s="1"/>
      <c r="L302" s="94">
        <f>+F27</f>
        <v>15</v>
      </c>
    </row>
    <row r="303" spans="2:12" ht="13.5" thickBot="1" x14ac:dyDescent="0.25">
      <c r="B303" s="25"/>
      <c r="C303" s="25"/>
      <c r="D303" s="25"/>
      <c r="E303" s="25"/>
      <c r="F303" s="25"/>
      <c r="G303" s="25"/>
      <c r="H303" s="95" t="s">
        <v>105</v>
      </c>
      <c r="I303" s="96"/>
      <c r="J303" s="96"/>
      <c r="K303" s="96"/>
      <c r="L303" s="97">
        <f ca="1">+L301/L302-1</f>
        <v>0.11907883242926909</v>
      </c>
    </row>
  </sheetData>
  <mergeCells count="4">
    <mergeCell ref="P241:T241"/>
    <mergeCell ref="P242:T242"/>
    <mergeCell ref="P262:T262"/>
    <mergeCell ref="P263:T2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Prompt</vt:lpstr>
      <vt:lpstr>Response</vt:lpstr>
      <vt:lpstr>Example Answer</vt:lpstr>
      <vt:lpstr>circ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2025-03-09T23:23:08Z</dcterms:created>
  <dcterms:modified xsi:type="dcterms:W3CDTF">2025-04-29T13:06:58Z</dcterms:modified>
</cp:coreProperties>
</file>